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gencat.sharepoint.com/sites/DRECURSOS_SERVEISGENERALS/Documents compartits/Licitacions direcció Recursos/SEGCORP/2026-0122-OASB_Subm. material CCAA/Revisió CiC 06.05.26/"/>
    </mc:Choice>
  </mc:AlternateContent>
  <xr:revisionPtr revIDLastSave="1" documentId="8_{DF35AB4D-0E0E-4BC6-AEA3-DAB4BA4D6EF8}" xr6:coauthVersionLast="47" xr6:coauthVersionMax="47" xr10:uidLastSave="{F672DC62-B9B9-45DA-8220-C3074DA04A3F}"/>
  <bookViews>
    <workbookView xWindow="22015" yWindow="-104" windowWidth="22325" windowHeight="11947" activeTab="1" xr2:uid="{00000000-000D-0000-FFFF-FFFF00000000}"/>
  </bookViews>
  <sheets>
    <sheet name="Preus" sheetId="1" r:id="rId1"/>
    <sheet name="PBL" sheetId="2" r:id="rId2"/>
    <sheet name="Resum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  <c r="H30" i="1"/>
  <c r="F43" i="3"/>
  <c r="F42" i="3"/>
  <c r="F41" i="3"/>
  <c r="F40" i="3"/>
  <c r="F39" i="3"/>
  <c r="C34" i="3" l="1"/>
  <c r="D34" i="3" l="1"/>
  <c r="J23" i="3" l="1"/>
  <c r="H23" i="3"/>
  <c r="F23" i="3"/>
  <c r="J22" i="3"/>
  <c r="H22" i="3"/>
  <c r="F22" i="3"/>
  <c r="J21" i="3"/>
  <c r="H21" i="3"/>
  <c r="F21" i="3"/>
  <c r="C20" i="3"/>
  <c r="H20" i="3" s="1"/>
  <c r="J18" i="3"/>
  <c r="H18" i="3"/>
  <c r="C18" i="3"/>
  <c r="F18" i="3" s="1"/>
  <c r="C17" i="3"/>
  <c r="H17" i="3" s="1"/>
  <c r="H16" i="3"/>
  <c r="C16" i="3"/>
  <c r="F16" i="3" s="1"/>
  <c r="C15" i="3"/>
  <c r="J15" i="3" s="1"/>
  <c r="C14" i="3"/>
  <c r="F14" i="3" s="1"/>
  <c r="C13" i="3"/>
  <c r="F13" i="3" s="1"/>
  <c r="H12" i="3"/>
  <c r="C12" i="3"/>
  <c r="F12" i="3" s="1"/>
  <c r="C11" i="3"/>
  <c r="J11" i="3" s="1"/>
  <c r="J10" i="3"/>
  <c r="H10" i="3"/>
  <c r="C10" i="3"/>
  <c r="F10" i="3" s="1"/>
  <c r="C9" i="3"/>
  <c r="F9" i="3" s="1"/>
  <c r="H8" i="3"/>
  <c r="C8" i="3"/>
  <c r="F8" i="3" s="1"/>
  <c r="C7" i="3"/>
  <c r="J7" i="3" s="1"/>
  <c r="L6" i="3"/>
  <c r="K6" i="3"/>
  <c r="J6" i="3"/>
  <c r="I6" i="3"/>
  <c r="H6" i="3"/>
  <c r="G6" i="3"/>
  <c r="F6" i="3"/>
  <c r="E6" i="3"/>
  <c r="K5" i="3"/>
  <c r="K4" i="3"/>
  <c r="L28" i="2"/>
  <c r="J28" i="2"/>
  <c r="H28" i="2"/>
  <c r="F28" i="2"/>
  <c r="L27" i="2"/>
  <c r="J27" i="2"/>
  <c r="H27" i="2"/>
  <c r="F27" i="2"/>
  <c r="L26" i="2"/>
  <c r="J26" i="2"/>
  <c r="H26" i="2"/>
  <c r="F26" i="2"/>
  <c r="L25" i="2"/>
  <c r="J25" i="2"/>
  <c r="H25" i="2"/>
  <c r="F25" i="2"/>
  <c r="L24" i="2"/>
  <c r="J24" i="2"/>
  <c r="H24" i="2"/>
  <c r="F24" i="2"/>
  <c r="L23" i="2"/>
  <c r="J23" i="2"/>
  <c r="H23" i="2"/>
  <c r="F23" i="2"/>
  <c r="L22" i="2"/>
  <c r="J22" i="2"/>
  <c r="H22" i="2"/>
  <c r="F22" i="2"/>
  <c r="L21" i="2"/>
  <c r="J21" i="2"/>
  <c r="H21" i="2"/>
  <c r="F21" i="2"/>
  <c r="L20" i="2"/>
  <c r="C20" i="2"/>
  <c r="J20" i="2" s="1"/>
  <c r="C18" i="2"/>
  <c r="L18" i="2" s="1"/>
  <c r="C17" i="2"/>
  <c r="J17" i="2" s="1"/>
  <c r="L16" i="2"/>
  <c r="C16" i="2"/>
  <c r="J16" i="2" s="1"/>
  <c r="C15" i="2"/>
  <c r="L15" i="2" s="1"/>
  <c r="C14" i="2"/>
  <c r="L14" i="2" s="1"/>
  <c r="C13" i="2"/>
  <c r="F13" i="2" s="1"/>
  <c r="C12" i="2"/>
  <c r="L12" i="2" s="1"/>
  <c r="C11" i="2"/>
  <c r="J11" i="2" s="1"/>
  <c r="C10" i="2"/>
  <c r="L10" i="2" s="1"/>
  <c r="C9" i="2"/>
  <c r="L9" i="2" s="1"/>
  <c r="C8" i="2"/>
  <c r="H8" i="2" s="1"/>
  <c r="C7" i="2"/>
  <c r="J7" i="2" s="1"/>
  <c r="H24" i="1"/>
  <c r="E26" i="3" l="1"/>
  <c r="L27" i="3" s="1"/>
  <c r="J8" i="3"/>
  <c r="J12" i="3"/>
  <c r="J16" i="3"/>
  <c r="H14" i="3"/>
  <c r="E19" i="3"/>
  <c r="J14" i="3"/>
  <c r="G5" i="3"/>
  <c r="F7" i="3"/>
  <c r="F11" i="3"/>
  <c r="F15" i="3"/>
  <c r="H9" i="3"/>
  <c r="H13" i="3"/>
  <c r="F20" i="3"/>
  <c r="E5" i="3" s="1"/>
  <c r="J9" i="3"/>
  <c r="J13" i="3"/>
  <c r="I4" i="3" s="1"/>
  <c r="J17" i="3"/>
  <c r="J20" i="3"/>
  <c r="I5" i="3" s="1"/>
  <c r="F17" i="3"/>
  <c r="H7" i="3"/>
  <c r="H11" i="3"/>
  <c r="H15" i="3"/>
  <c r="L7" i="2"/>
  <c r="F15" i="2"/>
  <c r="H15" i="2"/>
  <c r="J15" i="2"/>
  <c r="J13" i="2"/>
  <c r="J18" i="2"/>
  <c r="H18" i="2"/>
  <c r="H11" i="2"/>
  <c r="L8" i="2"/>
  <c r="F7" i="2"/>
  <c r="H10" i="2"/>
  <c r="F14" i="2"/>
  <c r="F16" i="2"/>
  <c r="H20" i="2"/>
  <c r="F8" i="2"/>
  <c r="H7" i="2"/>
  <c r="J10" i="2"/>
  <c r="J14" i="2"/>
  <c r="H16" i="2"/>
  <c r="L17" i="2"/>
  <c r="J8" i="2"/>
  <c r="F10" i="2"/>
  <c r="L11" i="2"/>
  <c r="H13" i="2"/>
  <c r="F18" i="2"/>
  <c r="F12" i="2"/>
  <c r="L13" i="2"/>
  <c r="F9" i="2"/>
  <c r="H12" i="2"/>
  <c r="F17" i="2"/>
  <c r="J12" i="2"/>
  <c r="H17" i="2"/>
  <c r="H9" i="2"/>
  <c r="H29" i="2" s="1"/>
  <c r="J9" i="2"/>
  <c r="F11" i="2"/>
  <c r="H14" i="2"/>
  <c r="F20" i="2"/>
  <c r="E25" i="3" l="1"/>
  <c r="E34" i="3"/>
  <c r="E24" i="3"/>
  <c r="G4" i="3"/>
  <c r="E4" i="3"/>
  <c r="L29" i="2"/>
  <c r="F29" i="2"/>
  <c r="J29" i="2"/>
  <c r="F34" i="3" l="1"/>
  <c r="G34" i="3" s="1"/>
  <c r="H34" i="3"/>
  <c r="I34" i="3" s="1"/>
  <c r="F30" i="2"/>
  <c r="H28" i="1" l="1"/>
  <c r="H27" i="1"/>
  <c r="H26" i="1"/>
  <c r="H25" i="1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7" i="1"/>
  <c r="H29" i="1" l="1"/>
</calcChain>
</file>

<file path=xl/sharedStrings.xml><?xml version="1.0" encoding="utf-8"?>
<sst xmlns="http://schemas.openxmlformats.org/spreadsheetml/2006/main" count="138" uniqueCount="65">
  <si>
    <t xml:space="preserve">Descripció </t>
  </si>
  <si>
    <t>Disseny ATL</t>
  </si>
  <si>
    <t>Any 2027</t>
  </si>
  <si>
    <t>Any 2028</t>
  </si>
  <si>
    <t>Marge</t>
  </si>
  <si>
    <t>Subministraments</t>
  </si>
  <si>
    <t>Serveis</t>
  </si>
  <si>
    <t>Impressió targeta DESfire EV3-8k segons necessitats d'ATL</t>
  </si>
  <si>
    <t>Recollida de material antic, destrucció de targetes i neteja lanyards</t>
  </si>
  <si>
    <t>Manteniment correctiu impressores</t>
  </si>
  <si>
    <t>Ioio negre de 32mm, personalitzat amb gota Epoxy per a ATL</t>
  </si>
  <si>
    <t>Lanyard 20mm amb doble connector, un per a cada costat. Amb tancament de seguretat més sistema anti-atrapament i personalitzat amb disseny d'ATL.</t>
  </si>
  <si>
    <t xml:space="preserve">Lanyard 20mm amb doble connector, un per a cada costat. Amb tancament de seguretat més sistema anti-atrapament i personalitzat amb disseny d'ATL. Inclou Ioio negre de 32mm, personalitzat amb gota Epoxy per a ATL. </t>
  </si>
  <si>
    <t>Pinça cocodril tipus C, amb corretja plàstica reforçada i claudàtors metàl·lics</t>
  </si>
  <si>
    <t>Impressora per a targetes reimprimibles de sublimació, 1 cara, alimentació manual. Model: Seaory S20R</t>
  </si>
  <si>
    <t>Kit de neteja. Model: DIK10044</t>
  </si>
  <si>
    <t xml:space="preserve">Tinta YMCK. Model: DIC10509 </t>
  </si>
  <si>
    <t xml:space="preserve">Tinta B/N. Model: DIC10539 </t>
  </si>
  <si>
    <t>Targeta impresa segons disseny ATL i amb capa DataRewrite. Format ISO CR80. Model: Mifare DESFire EV1 de 2K</t>
  </si>
  <si>
    <t xml:space="preserve">Targeta treballadors. Model: DESfire EV3-8k </t>
  </si>
  <si>
    <t>Portatargetes amb tancat horitzontal, transparent, policarbonat resistent, acabat anti-reflexos qualitat Premium. Model: IDS71 horitzontal</t>
  </si>
  <si>
    <t>Portatargetes amb tancat vertical, transparent, policarbonat resistent, acabat anti-reflexos qualitat Premium. Model: IDS71 vertical</t>
  </si>
  <si>
    <t>Consideracions:</t>
  </si>
  <si>
    <t>Capítol 1: Preus generals</t>
  </si>
  <si>
    <t>1. En el desplaçament a OC Fontsanta no s'abonarà cap import en concepte de desplaçament</t>
  </si>
  <si>
    <t>2. Els quilòmetres de desplaçament inclouen el trajecte d'anada i tornada amb origen a OC Fontsanta</t>
  </si>
  <si>
    <t>Any 2026</t>
  </si>
  <si>
    <t>Uts Estimades</t>
  </si>
  <si>
    <t>Any 2029</t>
  </si>
  <si>
    <t>Kms Desplaçament El Pasteral (La Cellera de Ter - Girona)</t>
  </si>
  <si>
    <t>Kms Desplaçament ETAP Ter (Cardedeu - Barcelona)</t>
  </si>
  <si>
    <t>Kms Desplaçament ETAP Llobregat (Abrera - Barcelona)</t>
  </si>
  <si>
    <t>Kms Desplaçament ITAM Llobregat (El Prat de Llobregat - Barcelona)</t>
  </si>
  <si>
    <t>Kms Desplaçament ED Trinitat (Nou Barris - Barcelona)</t>
  </si>
  <si>
    <r>
      <t xml:space="preserve">3. Els preus indicats en els subministraments i els serveis descrits als punts 6.1, 6.2 i 6.3 </t>
    </r>
    <r>
      <rPr>
        <u/>
        <sz val="10"/>
        <color theme="1"/>
        <rFont val="Arial"/>
        <family val="2"/>
      </rPr>
      <t>del PPT</t>
    </r>
    <r>
      <rPr>
        <sz val="10"/>
        <color theme="1"/>
        <rFont val="Arial"/>
        <family val="2"/>
      </rPr>
      <t xml:space="preserve"> inclouen la mà d'obra i els desplaçaments</t>
    </r>
  </si>
  <si>
    <r>
      <t xml:space="preserve">Total oferta (IVA Exclòs) </t>
    </r>
    <r>
      <rPr>
        <b/>
        <sz val="18"/>
        <rFont val="Calibri"/>
        <family val="2"/>
        <scheme val="minor"/>
      </rPr>
      <t>**</t>
    </r>
  </si>
  <si>
    <r>
      <rPr>
        <b/>
        <sz val="18"/>
        <rFont val="Calibri"/>
        <family val="2"/>
        <scheme val="minor"/>
      </rPr>
      <t>**</t>
    </r>
    <r>
      <rPr>
        <b/>
        <sz val="14"/>
        <color theme="1"/>
        <rFont val="Calibri"/>
        <family val="2"/>
        <scheme val="minor"/>
      </rPr>
      <t xml:space="preserve"> Aquesta oferta s'utilitzarà al únics efectes de poder comparar ofertes i determinar la puntuació de cada oferta, però en cap cas serà limitativa de l'import a consumir, el qual ve determinat pel valor estimat publicat. És a dir, que en cas de rebaixa dels diferents preus unitaris en la licitació, en execució del mateix només suposa una limitació en el valor estimat fixat, podent-se adjudicar més unitats de producte de les previstes en els plecs fins exhaurir aquest pressupost</t>
    </r>
  </si>
  <si>
    <r>
      <rPr>
        <sz val="18"/>
        <rFont val="Calibri"/>
        <family val="2"/>
        <scheme val="minor"/>
      </rPr>
      <t xml:space="preserve">* </t>
    </r>
    <r>
      <rPr>
        <sz val="11"/>
        <rFont val="Calibri"/>
        <family val="2"/>
        <scheme val="minor"/>
      </rPr>
      <t>El numero màxim de decimals admesos a la licitació serà de 2 (dos)</t>
    </r>
  </si>
  <si>
    <r>
      <t>Preu unitari OFERTA (IVA Exclòs)</t>
    </r>
    <r>
      <rPr>
        <b/>
        <sz val="18"/>
        <rFont val="Calibri"/>
        <family val="2"/>
        <scheme val="minor"/>
      </rPr>
      <t>*</t>
    </r>
  </si>
  <si>
    <t>Licitació</t>
  </si>
  <si>
    <t>Any 2026 (6 mesos)</t>
  </si>
  <si>
    <t>Any 2029 (6 mesos)</t>
  </si>
  <si>
    <t>Preu unitari LICITACIÓ</t>
  </si>
  <si>
    <t>Preu unitari OFERTA</t>
  </si>
  <si>
    <t>Unitats</t>
  </si>
  <si>
    <t xml:space="preserve">Preu </t>
  </si>
  <si>
    <t>Total anual</t>
  </si>
  <si>
    <t>Total PBL (sense IVA)</t>
  </si>
  <si>
    <t>Resum desglossat imports anuals</t>
  </si>
  <si>
    <t>Oferta</t>
  </si>
  <si>
    <t>Total licitació (sense IVA)</t>
  </si>
  <si>
    <t>Total IVA</t>
  </si>
  <si>
    <t>Total licitació (amb IVA)</t>
  </si>
  <si>
    <t>Total oferta (sense IVA)</t>
  </si>
  <si>
    <t>Total oferta (amb IVA)</t>
  </si>
  <si>
    <t>Pressupost base de licitació (IVA exclòs)</t>
  </si>
  <si>
    <t>Import total IVA</t>
  </si>
  <si>
    <t>Pressupost base de licitació (IVA inclòs)</t>
  </si>
  <si>
    <t>Modificacions a l’alça previstes (màxim 20%)</t>
  </si>
  <si>
    <t>Valor estimat sense IVA (inclou pròrroga i modificacions)</t>
  </si>
  <si>
    <t>Anualitats</t>
  </si>
  <si>
    <t>Preus generals</t>
  </si>
  <si>
    <t>IVA 21%</t>
  </si>
  <si>
    <t>Total oferta (IVA inclòs)</t>
  </si>
  <si>
    <t>Import Total Oferta (IVA Exclòs)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</si>
</sst>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6" xfId="0" applyBorder="1" applyAlignment="1">
      <alignment wrapText="1"/>
    </xf>
    <xf numFmtId="0" fontId="2" fillId="0" borderId="9" xfId="0" applyFont="1" applyBorder="1" applyAlignment="1">
      <alignment wrapText="1"/>
    </xf>
    <xf numFmtId="0" fontId="2" fillId="7" borderId="10" xfId="0" applyFont="1" applyFill="1" applyBorder="1" applyAlignment="1">
      <alignment wrapText="1"/>
    </xf>
    <xf numFmtId="0" fontId="0" fillId="2" borderId="0" xfId="0" applyFill="1" applyAlignment="1">
      <alignment wrapText="1"/>
    </xf>
    <xf numFmtId="0" fontId="3" fillId="8" borderId="3" xfId="0" applyFont="1" applyFill="1" applyBorder="1" applyAlignment="1">
      <alignment wrapText="1"/>
    </xf>
    <xf numFmtId="0" fontId="3" fillId="8" borderId="4" xfId="0" applyFont="1" applyFill="1" applyBorder="1" applyAlignment="1">
      <alignment wrapText="1"/>
    </xf>
    <xf numFmtId="0" fontId="0" fillId="6" borderId="2" xfId="0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18" xfId="0" applyFill="1" applyBorder="1" applyAlignment="1">
      <alignment vertical="center" wrapText="1"/>
    </xf>
    <xf numFmtId="0" fontId="0" fillId="6" borderId="7" xfId="0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0" fillId="3" borderId="1" xfId="1" applyFont="1" applyFill="1" applyBorder="1" applyAlignment="1">
      <alignment wrapText="1"/>
    </xf>
    <xf numFmtId="44" fontId="0" fillId="3" borderId="1" xfId="1" applyFont="1" applyFill="1" applyBorder="1" applyAlignment="1">
      <alignment vertical="center" wrapText="1"/>
    </xf>
    <xf numFmtId="44" fontId="0" fillId="3" borderId="17" xfId="1" applyFont="1" applyFill="1" applyBorder="1" applyAlignment="1">
      <alignment wrapText="1"/>
    </xf>
    <xf numFmtId="44" fontId="0" fillId="3" borderId="16" xfId="1" applyFont="1" applyFill="1" applyBorder="1" applyAlignment="1">
      <alignment wrapText="1"/>
    </xf>
    <xf numFmtId="0" fontId="4" fillId="4" borderId="1" xfId="0" applyFont="1" applyFill="1" applyBorder="1" applyAlignment="1">
      <alignment horizontal="center" vertical="center" wrapText="1"/>
    </xf>
    <xf numFmtId="44" fontId="0" fillId="4" borderId="1" xfId="1" applyFont="1" applyFill="1" applyBorder="1" applyAlignment="1">
      <alignment wrapText="1"/>
    </xf>
    <xf numFmtId="44" fontId="0" fillId="0" borderId="0" xfId="0" applyNumberFormat="1" applyAlignment="1">
      <alignment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7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44" fontId="0" fillId="0" borderId="1" xfId="1" applyFont="1" applyBorder="1" applyAlignment="1">
      <alignment vertical="center" wrapText="1"/>
    </xf>
    <xf numFmtId="0" fontId="0" fillId="5" borderId="6" xfId="0" applyFill="1" applyBorder="1"/>
    <xf numFmtId="0" fontId="4" fillId="4" borderId="1" xfId="0" applyFont="1" applyFill="1" applyBorder="1"/>
    <xf numFmtId="0" fontId="0" fillId="2" borderId="0" xfId="0" applyFill="1"/>
    <xf numFmtId="0" fontId="3" fillId="8" borderId="22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0" fillId="0" borderId="17" xfId="0" applyBorder="1" applyAlignment="1">
      <alignment vertical="center" wrapText="1"/>
    </xf>
    <xf numFmtId="44" fontId="0" fillId="0" borderId="17" xfId="1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44" fontId="0" fillId="0" borderId="16" xfId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44" fontId="0" fillId="0" borderId="0" xfId="1" applyFont="1" applyBorder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0" fontId="0" fillId="5" borderId="6" xfId="0" applyFill="1" applyBorder="1" applyAlignment="1">
      <alignment vertical="center"/>
    </xf>
    <xf numFmtId="0" fontId="0" fillId="0" borderId="0" xfId="0" applyAlignment="1">
      <alignment vertical="center"/>
    </xf>
    <xf numFmtId="44" fontId="0" fillId="5" borderId="6" xfId="1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vertical="center"/>
    </xf>
    <xf numFmtId="0" fontId="0" fillId="6" borderId="22" xfId="0" applyFill="1" applyBorder="1" applyAlignment="1">
      <alignment vertical="center"/>
    </xf>
    <xf numFmtId="44" fontId="0" fillId="6" borderId="1" xfId="0" applyNumberFormat="1" applyFill="1" applyBorder="1" applyAlignment="1">
      <alignment vertical="center"/>
    </xf>
    <xf numFmtId="0" fontId="0" fillId="0" borderId="29" xfId="0" applyBorder="1"/>
    <xf numFmtId="0" fontId="0" fillId="6" borderId="7" xfId="0" applyFill="1" applyBorder="1" applyAlignment="1">
      <alignment vertical="center"/>
    </xf>
    <xf numFmtId="0" fontId="0" fillId="6" borderId="24" xfId="0" applyFill="1" applyBorder="1" applyAlignment="1">
      <alignment vertical="center"/>
    </xf>
    <xf numFmtId="44" fontId="0" fillId="5" borderId="16" xfId="1" applyFont="1" applyFill="1" applyBorder="1"/>
    <xf numFmtId="44" fontId="0" fillId="10" borderId="16" xfId="1" applyFont="1" applyFill="1" applyBorder="1"/>
    <xf numFmtId="0" fontId="0" fillId="0" borderId="1" xfId="0" applyBorder="1"/>
    <xf numFmtId="44" fontId="0" fillId="0" borderId="1" xfId="1" applyFont="1" applyBorder="1"/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6" xfId="0" applyBorder="1"/>
    <xf numFmtId="44" fontId="0" fillId="0" borderId="0" xfId="1" applyFont="1" applyBorder="1"/>
    <xf numFmtId="0" fontId="0" fillId="0" borderId="6" xfId="0" applyBorder="1"/>
    <xf numFmtId="44" fontId="0" fillId="0" borderId="1" xfId="1" applyFont="1" applyFill="1" applyBorder="1"/>
    <xf numFmtId="0" fontId="0" fillId="0" borderId="17" xfId="0" applyBorder="1"/>
    <xf numFmtId="44" fontId="0" fillId="0" borderId="17" xfId="1" applyFont="1" applyBorder="1"/>
    <xf numFmtId="44" fontId="0" fillId="0" borderId="0" xfId="1" applyFont="1" applyFill="1" applyBorder="1"/>
    <xf numFmtId="0" fontId="4" fillId="10" borderId="17" xfId="0" applyFont="1" applyFill="1" applyBorder="1"/>
    <xf numFmtId="44" fontId="0" fillId="10" borderId="22" xfId="0" applyNumberFormat="1" applyFill="1" applyBorder="1" applyAlignment="1">
      <alignment horizontal="center" vertical="center"/>
    </xf>
    <xf numFmtId="44" fontId="0" fillId="10" borderId="7" xfId="0" applyNumberFormat="1" applyFill="1" applyBorder="1" applyAlignment="1">
      <alignment horizontal="center" vertical="center"/>
    </xf>
    <xf numFmtId="0" fontId="4" fillId="10" borderId="22" xfId="0" applyFont="1" applyFill="1" applyBorder="1"/>
    <xf numFmtId="44" fontId="0" fillId="10" borderId="7" xfId="0" applyNumberFormat="1" applyFill="1" applyBorder="1" applyAlignment="1">
      <alignment vertical="center"/>
    </xf>
    <xf numFmtId="44" fontId="0" fillId="10" borderId="24" xfId="0" applyNumberFormat="1" applyFill="1" applyBorder="1" applyAlignment="1">
      <alignment vertical="center"/>
    </xf>
    <xf numFmtId="0" fontId="4" fillId="11" borderId="31" xfId="0" applyFont="1" applyFill="1" applyBorder="1" applyAlignment="1">
      <alignment horizontal="center" vertical="center" wrapText="1"/>
    </xf>
    <xf numFmtId="164" fontId="0" fillId="0" borderId="31" xfId="0" applyNumberFormat="1" applyBorder="1" applyAlignment="1">
      <alignment horizontal="center" vertical="center"/>
    </xf>
    <xf numFmtId="0" fontId="4" fillId="0" borderId="0" xfId="0" applyFont="1"/>
    <xf numFmtId="164" fontId="0" fillId="0" borderId="1" xfId="0" applyNumberFormat="1" applyBorder="1"/>
    <xf numFmtId="164" fontId="4" fillId="0" borderId="0" xfId="0" applyNumberFormat="1" applyFont="1"/>
    <xf numFmtId="0" fontId="0" fillId="12" borderId="1" xfId="0" applyFill="1" applyBorder="1" applyAlignment="1">
      <alignment horizontal="center"/>
    </xf>
    <xf numFmtId="44" fontId="5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7" fillId="9" borderId="19" xfId="0" applyFont="1" applyFill="1" applyBorder="1" applyAlignment="1">
      <alignment horizontal="left" wrapText="1"/>
    </xf>
    <xf numFmtId="0" fontId="7" fillId="9" borderId="20" xfId="0" applyFont="1" applyFill="1" applyBorder="1" applyAlignment="1">
      <alignment horizontal="left" wrapText="1"/>
    </xf>
    <xf numFmtId="0" fontId="7" fillId="9" borderId="21" xfId="0" applyFont="1" applyFill="1" applyBorder="1" applyAlignment="1">
      <alignment horizontal="left" wrapText="1"/>
    </xf>
    <xf numFmtId="0" fontId="2" fillId="7" borderId="9" xfId="0" applyFont="1" applyFill="1" applyBorder="1" applyAlignment="1">
      <alignment horizontal="left" vertical="center" wrapText="1"/>
    </xf>
    <xf numFmtId="0" fontId="2" fillId="7" borderId="0" xfId="0" applyFont="1" applyFill="1" applyAlignment="1">
      <alignment horizontal="left" vertical="center" wrapText="1"/>
    </xf>
    <xf numFmtId="0" fontId="2" fillId="7" borderId="10" xfId="0" applyFont="1" applyFill="1" applyBorder="1" applyAlignment="1">
      <alignment horizontal="left" vertical="center" wrapText="1"/>
    </xf>
    <xf numFmtId="0" fontId="2" fillId="7" borderId="11" xfId="0" applyFont="1" applyFill="1" applyBorder="1" applyAlignment="1">
      <alignment horizontal="left" vertical="center" wrapText="1"/>
    </xf>
    <xf numFmtId="0" fontId="2" fillId="7" borderId="12" xfId="0" applyFont="1" applyFill="1" applyBorder="1" applyAlignment="1">
      <alignment horizontal="lef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left" wrapText="1"/>
    </xf>
    <xf numFmtId="0" fontId="4" fillId="5" borderId="15" xfId="0" applyFont="1" applyFill="1" applyBorder="1" applyAlignment="1">
      <alignment horizontal="left" wrapText="1"/>
    </xf>
    <xf numFmtId="0" fontId="4" fillId="5" borderId="14" xfId="0" applyFont="1" applyFill="1" applyBorder="1" applyAlignment="1">
      <alignment horizontal="left" wrapText="1"/>
    </xf>
    <xf numFmtId="0" fontId="4" fillId="4" borderId="22" xfId="0" applyFont="1" applyFill="1" applyBorder="1" applyAlignment="1">
      <alignment horizontal="right" vertical="center" wrapText="1"/>
    </xf>
    <xf numFmtId="0" fontId="4" fillId="4" borderId="7" xfId="0" applyFont="1" applyFill="1" applyBorder="1" applyAlignment="1">
      <alignment horizontal="right" vertical="center" wrapText="1"/>
    </xf>
    <xf numFmtId="0" fontId="4" fillId="4" borderId="24" xfId="0" applyFont="1" applyFill="1" applyBorder="1" applyAlignment="1">
      <alignment horizontal="righ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6" borderId="18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25" xfId="0" applyFill="1" applyBorder="1" applyAlignment="1">
      <alignment horizontal="left" vertical="center" wrapText="1"/>
    </xf>
    <xf numFmtId="44" fontId="4" fillId="4" borderId="22" xfId="0" applyNumberFormat="1" applyFont="1" applyFill="1" applyBorder="1" applyAlignment="1">
      <alignment horizontal="center" vertical="center"/>
    </xf>
    <xf numFmtId="44" fontId="4" fillId="4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 wrapText="1"/>
    </xf>
    <xf numFmtId="0" fontId="4" fillId="5" borderId="15" xfId="0" applyFont="1" applyFill="1" applyBorder="1" applyAlignment="1">
      <alignment horizontal="left" vertical="center" wrapText="1"/>
    </xf>
    <xf numFmtId="0" fontId="4" fillId="5" borderId="14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12" fillId="4" borderId="22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4" borderId="22" xfId="0" applyNumberFormat="1" applyFill="1" applyBorder="1" applyAlignment="1">
      <alignment horizontal="center" vertical="center"/>
    </xf>
    <xf numFmtId="44" fontId="0" fillId="4" borderId="7" xfId="0" applyNumberFormat="1" applyFill="1" applyBorder="1" applyAlignment="1">
      <alignment horizontal="center" vertical="center"/>
    </xf>
    <xf numFmtId="44" fontId="0" fillId="4" borderId="24" xfId="0" applyNumberFormat="1" applyFill="1" applyBorder="1" applyAlignment="1">
      <alignment horizontal="center" vertical="center"/>
    </xf>
    <xf numFmtId="44" fontId="0" fillId="10" borderId="22" xfId="0" applyNumberFormat="1" applyFill="1" applyBorder="1" applyAlignment="1">
      <alignment horizontal="center" vertical="center"/>
    </xf>
    <xf numFmtId="44" fontId="0" fillId="10" borderId="7" xfId="0" applyNumberFormat="1" applyFill="1" applyBorder="1" applyAlignment="1">
      <alignment horizontal="center" vertical="center"/>
    </xf>
    <xf numFmtId="44" fontId="0" fillId="10" borderId="24" xfId="0" applyNumberFormat="1" applyFill="1" applyBorder="1" applyAlignment="1">
      <alignment horizontal="center" vertical="center"/>
    </xf>
    <xf numFmtId="44" fontId="0" fillId="4" borderId="30" xfId="0" applyNumberFormat="1" applyFill="1" applyBorder="1" applyAlignment="1">
      <alignment horizontal="center" vertical="center"/>
    </xf>
    <xf numFmtId="44" fontId="0" fillId="4" borderId="0" xfId="0" applyNumberForma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6-0122-OASB_Preus.xlsx" TargetMode="External"/><Relationship Id="rId2" Type="http://schemas.openxmlformats.org/officeDocument/2006/relationships/externalLinkPath" Target="https://gencat.sharepoint.com/sites/DRECURSOS_SERVEISGENERALS/Documents%20compartits/Licitacions%20direcci&#243;%20Recursos/SEGCORP/2026-0122-OASB_Subm.%20material%20CCAA/2026-0122-OASB_Preus.xlsx" TargetMode="External"/><Relationship Id="rId1" Type="http://schemas.openxmlformats.org/officeDocument/2006/relationships/externalLinkPath" Target="/sites/DRECURSOS_SERVEISGENERALS/Documents%20compartits/Licitacions%20direcci&#243;%20Recursos/SEGCORP/2026-0122-OASB_Subm.%20material%20CCAA/2026-0122-OASB_Pre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us"/>
      <sheetName val="Criteris automàtics"/>
      <sheetName val="Resum"/>
      <sheetName val="CD+CI"/>
    </sheetNames>
    <sheetDataSet>
      <sheetData sheetId="0">
        <row r="29">
          <cell r="F29">
            <v>5076.3520000000008</v>
          </cell>
          <cell r="H29">
            <v>7873.4070000000011</v>
          </cell>
          <cell r="J29">
            <v>8139.277000000001</v>
          </cell>
          <cell r="L29">
            <v>5076.3520000000008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56"/>
  <sheetViews>
    <sheetView zoomScale="85" zoomScaleNormal="85" workbookViewId="0">
      <selection activeCell="B9" sqref="B9"/>
    </sheetView>
  </sheetViews>
  <sheetFormatPr baseColWidth="10" defaultColWidth="8.69921875" defaultRowHeight="14.4" x14ac:dyDescent="0.3"/>
  <cols>
    <col min="1" max="1" width="1.3984375" style="3" customWidth="1"/>
    <col min="2" max="2" width="73.09765625" style="3" customWidth="1"/>
    <col min="3" max="6" width="12.3984375" style="3" customWidth="1"/>
    <col min="7" max="7" width="14.8984375" style="3" customWidth="1"/>
    <col min="8" max="8" width="20.8984375" style="3" customWidth="1"/>
    <col min="9" max="9" width="8.69921875" style="3"/>
    <col min="10" max="10" width="11.69921875" style="3" customWidth="1"/>
    <col min="11" max="11" width="11" style="3" customWidth="1"/>
    <col min="12" max="12" width="13.09765625" style="3" customWidth="1"/>
    <col min="13" max="13" width="12.09765625" style="3" customWidth="1"/>
    <col min="14" max="14" width="12.3984375" style="3" bestFit="1" customWidth="1"/>
    <col min="15" max="15" width="8.69921875" style="3"/>
    <col min="16" max="16" width="12.09765625" style="3" bestFit="1" customWidth="1"/>
    <col min="17" max="17" width="18.8984375" style="3" customWidth="1"/>
    <col min="18" max="18" width="11.3984375" style="3" customWidth="1"/>
    <col min="19" max="16384" width="8.69921875" style="3"/>
  </cols>
  <sheetData>
    <row r="2" spans="2:8" ht="18.45" customHeight="1" x14ac:dyDescent="0.3"/>
    <row r="3" spans="2:8" ht="14.7" customHeight="1" x14ac:dyDescent="0.3">
      <c r="C3" s="30" t="s">
        <v>26</v>
      </c>
      <c r="D3" s="30" t="s">
        <v>2</v>
      </c>
      <c r="E3" s="30" t="s">
        <v>3</v>
      </c>
      <c r="F3" s="30" t="s">
        <v>28</v>
      </c>
    </row>
    <row r="4" spans="2:8" ht="51.85" x14ac:dyDescent="0.3">
      <c r="B4" s="1" t="s">
        <v>0</v>
      </c>
      <c r="C4" s="1" t="s">
        <v>27</v>
      </c>
      <c r="D4" s="1" t="s">
        <v>27</v>
      </c>
      <c r="E4" s="1" t="s">
        <v>27</v>
      </c>
      <c r="F4" s="1" t="s">
        <v>27</v>
      </c>
      <c r="G4" s="17" t="s">
        <v>38</v>
      </c>
      <c r="H4" s="22" t="s">
        <v>64</v>
      </c>
    </row>
    <row r="5" spans="2:8" ht="17.850000000000001" x14ac:dyDescent="0.35">
      <c r="B5" s="11" t="s">
        <v>61</v>
      </c>
      <c r="C5" s="12"/>
      <c r="D5" s="12"/>
      <c r="E5" s="12"/>
      <c r="F5" s="12"/>
      <c r="G5" s="12"/>
      <c r="H5" s="12"/>
    </row>
    <row r="6" spans="2:8" x14ac:dyDescent="0.3">
      <c r="B6" s="13" t="s">
        <v>5</v>
      </c>
      <c r="C6" s="14"/>
      <c r="D6" s="14"/>
      <c r="E6" s="14"/>
      <c r="F6" s="14"/>
      <c r="G6" s="14"/>
      <c r="H6" s="14"/>
    </row>
    <row r="7" spans="2:8" x14ac:dyDescent="0.3">
      <c r="B7" s="4" t="s">
        <v>10</v>
      </c>
      <c r="C7" s="4">
        <v>100</v>
      </c>
      <c r="D7" s="4">
        <v>100</v>
      </c>
      <c r="E7" s="4">
        <v>250</v>
      </c>
      <c r="F7" s="4">
        <v>100</v>
      </c>
      <c r="G7" s="18"/>
      <c r="H7" s="23">
        <f>(C7+D7+E7+F7)*G7</f>
        <v>0</v>
      </c>
    </row>
    <row r="8" spans="2:8" ht="28.8" x14ac:dyDescent="0.3">
      <c r="B8" s="4" t="s">
        <v>11</v>
      </c>
      <c r="C8" s="4">
        <v>75</v>
      </c>
      <c r="D8" s="4">
        <v>100</v>
      </c>
      <c r="E8" s="4">
        <v>250</v>
      </c>
      <c r="F8" s="4">
        <v>75</v>
      </c>
      <c r="G8" s="18"/>
      <c r="H8" s="23">
        <f t="shared" ref="H8:H28" si="0">(C8+D8+E8+F8)*G8</f>
        <v>0</v>
      </c>
    </row>
    <row r="9" spans="2:8" ht="43.2" x14ac:dyDescent="0.3">
      <c r="B9" s="2" t="s">
        <v>12</v>
      </c>
      <c r="C9" s="2">
        <v>75</v>
      </c>
      <c r="D9" s="2">
        <v>150</v>
      </c>
      <c r="E9" s="2">
        <v>150</v>
      </c>
      <c r="F9" s="2">
        <v>75</v>
      </c>
      <c r="G9" s="19"/>
      <c r="H9" s="23">
        <f t="shared" si="0"/>
        <v>0</v>
      </c>
    </row>
    <row r="10" spans="2:8" ht="28.8" x14ac:dyDescent="0.3">
      <c r="B10" s="4" t="s">
        <v>21</v>
      </c>
      <c r="C10" s="4">
        <v>150</v>
      </c>
      <c r="D10" s="4">
        <v>250</v>
      </c>
      <c r="E10" s="4">
        <v>300</v>
      </c>
      <c r="F10" s="4">
        <v>150</v>
      </c>
      <c r="G10" s="18"/>
      <c r="H10" s="23">
        <f t="shared" si="0"/>
        <v>0</v>
      </c>
    </row>
    <row r="11" spans="2:8" ht="28.8" x14ac:dyDescent="0.3">
      <c r="B11" s="4" t="s">
        <v>20</v>
      </c>
      <c r="C11" s="4">
        <v>100</v>
      </c>
      <c r="D11" s="4">
        <v>200</v>
      </c>
      <c r="E11" s="4">
        <v>200</v>
      </c>
      <c r="F11" s="4">
        <v>100</v>
      </c>
      <c r="G11" s="18"/>
      <c r="H11" s="23">
        <f t="shared" si="0"/>
        <v>0</v>
      </c>
    </row>
    <row r="12" spans="2:8" x14ac:dyDescent="0.3">
      <c r="B12" s="4" t="s">
        <v>13</v>
      </c>
      <c r="C12" s="4">
        <v>75</v>
      </c>
      <c r="D12" s="4">
        <v>150</v>
      </c>
      <c r="E12" s="4">
        <v>250</v>
      </c>
      <c r="F12" s="4">
        <v>75</v>
      </c>
      <c r="G12" s="18"/>
      <c r="H12" s="23">
        <f t="shared" si="0"/>
        <v>0</v>
      </c>
    </row>
    <row r="13" spans="2:8" x14ac:dyDescent="0.3">
      <c r="B13" s="4" t="s">
        <v>19</v>
      </c>
      <c r="C13" s="4">
        <v>150</v>
      </c>
      <c r="D13" s="4">
        <v>250</v>
      </c>
      <c r="E13" s="4">
        <v>250</v>
      </c>
      <c r="F13" s="4">
        <v>150</v>
      </c>
      <c r="G13" s="18"/>
      <c r="H13" s="23">
        <f t="shared" si="0"/>
        <v>0</v>
      </c>
    </row>
    <row r="14" spans="2:8" ht="28.8" x14ac:dyDescent="0.3">
      <c r="B14" s="4" t="s">
        <v>18</v>
      </c>
      <c r="C14" s="4">
        <v>150</v>
      </c>
      <c r="D14" s="4">
        <v>300</v>
      </c>
      <c r="E14" s="4">
        <v>300</v>
      </c>
      <c r="F14" s="4">
        <v>150</v>
      </c>
      <c r="G14" s="18"/>
      <c r="H14" s="23">
        <f t="shared" si="0"/>
        <v>0</v>
      </c>
    </row>
    <row r="15" spans="2:8" x14ac:dyDescent="0.3">
      <c r="B15" s="4" t="s">
        <v>16</v>
      </c>
      <c r="C15" s="4">
        <v>1</v>
      </c>
      <c r="D15" s="4">
        <v>1</v>
      </c>
      <c r="E15" s="4">
        <v>1</v>
      </c>
      <c r="F15" s="4">
        <v>1</v>
      </c>
      <c r="G15" s="18"/>
      <c r="H15" s="23">
        <f t="shared" si="0"/>
        <v>0</v>
      </c>
    </row>
    <row r="16" spans="2:8" x14ac:dyDescent="0.3">
      <c r="B16" s="4" t="s">
        <v>17</v>
      </c>
      <c r="C16" s="4">
        <v>1</v>
      </c>
      <c r="D16" s="4">
        <v>1</v>
      </c>
      <c r="E16" s="4">
        <v>1</v>
      </c>
      <c r="F16" s="4">
        <v>1</v>
      </c>
      <c r="G16" s="18"/>
      <c r="H16" s="23">
        <f t="shared" si="0"/>
        <v>0</v>
      </c>
    </row>
    <row r="17" spans="2:8" x14ac:dyDescent="0.3">
      <c r="B17" s="4" t="s">
        <v>15</v>
      </c>
      <c r="C17" s="4">
        <v>1</v>
      </c>
      <c r="D17" s="4">
        <v>1</v>
      </c>
      <c r="E17" s="4">
        <v>1</v>
      </c>
      <c r="F17" s="4">
        <v>1</v>
      </c>
      <c r="G17" s="18"/>
      <c r="H17" s="23">
        <f t="shared" si="0"/>
        <v>0</v>
      </c>
    </row>
    <row r="18" spans="2:8" ht="28.8" x14ac:dyDescent="0.3">
      <c r="B18" s="5" t="s">
        <v>14</v>
      </c>
      <c r="C18" s="5">
        <v>1</v>
      </c>
      <c r="D18" s="5">
        <v>1</v>
      </c>
      <c r="E18" s="5">
        <v>1</v>
      </c>
      <c r="F18" s="5">
        <v>1</v>
      </c>
      <c r="G18" s="20"/>
      <c r="H18" s="23">
        <f t="shared" si="0"/>
        <v>0</v>
      </c>
    </row>
    <row r="19" spans="2:8" x14ac:dyDescent="0.3">
      <c r="B19" s="15" t="s">
        <v>6</v>
      </c>
      <c r="C19" s="16"/>
      <c r="D19" s="16"/>
      <c r="E19" s="16"/>
      <c r="F19" s="16"/>
      <c r="G19" s="16"/>
      <c r="H19" s="23">
        <f t="shared" si="0"/>
        <v>0</v>
      </c>
    </row>
    <row r="20" spans="2:8" x14ac:dyDescent="0.3">
      <c r="B20" s="6" t="s">
        <v>1</v>
      </c>
      <c r="C20" s="6">
        <v>0</v>
      </c>
      <c r="D20" s="6">
        <v>1</v>
      </c>
      <c r="E20" s="4">
        <v>0</v>
      </c>
      <c r="F20" s="6">
        <v>0</v>
      </c>
      <c r="G20" s="21"/>
      <c r="H20" s="23">
        <f t="shared" si="0"/>
        <v>0</v>
      </c>
    </row>
    <row r="21" spans="2:8" x14ac:dyDescent="0.3">
      <c r="B21" s="7" t="s">
        <v>8</v>
      </c>
      <c r="C21" s="4">
        <v>2</v>
      </c>
      <c r="D21" s="4">
        <v>2</v>
      </c>
      <c r="E21" s="4">
        <v>3</v>
      </c>
      <c r="F21" s="4">
        <v>2</v>
      </c>
      <c r="G21" s="18"/>
      <c r="H21" s="23">
        <f t="shared" si="0"/>
        <v>0</v>
      </c>
    </row>
    <row r="22" spans="2:8" x14ac:dyDescent="0.3">
      <c r="B22" s="4" t="s">
        <v>7</v>
      </c>
      <c r="C22" s="4">
        <v>50</v>
      </c>
      <c r="D22" s="4">
        <v>100</v>
      </c>
      <c r="E22" s="4">
        <v>100</v>
      </c>
      <c r="F22" s="4">
        <v>50</v>
      </c>
      <c r="G22" s="18"/>
      <c r="H22" s="23">
        <f t="shared" si="0"/>
        <v>0</v>
      </c>
    </row>
    <row r="23" spans="2:8" x14ac:dyDescent="0.3">
      <c r="B23" s="4" t="s">
        <v>9</v>
      </c>
      <c r="C23" s="4">
        <v>4</v>
      </c>
      <c r="D23" s="4">
        <v>5</v>
      </c>
      <c r="E23" s="4">
        <v>5</v>
      </c>
      <c r="F23" s="4">
        <v>4</v>
      </c>
      <c r="G23" s="18"/>
      <c r="H23" s="23">
        <f t="shared" si="0"/>
        <v>0</v>
      </c>
    </row>
    <row r="24" spans="2:8" x14ac:dyDescent="0.3">
      <c r="B24" s="4" t="s">
        <v>29</v>
      </c>
      <c r="C24" s="29">
        <v>220</v>
      </c>
      <c r="D24" s="29">
        <v>440</v>
      </c>
      <c r="E24" s="29">
        <v>440</v>
      </c>
      <c r="F24" s="29">
        <v>220</v>
      </c>
      <c r="G24" s="18"/>
      <c r="H24" s="23">
        <f>(C24+D24+E24+F24)*G24</f>
        <v>0</v>
      </c>
    </row>
    <row r="25" spans="2:8" x14ac:dyDescent="0.3">
      <c r="B25" s="4" t="s">
        <v>30</v>
      </c>
      <c r="C25" s="29">
        <v>100</v>
      </c>
      <c r="D25" s="29">
        <v>200</v>
      </c>
      <c r="E25" s="29">
        <v>200</v>
      </c>
      <c r="F25" s="29">
        <v>100</v>
      </c>
      <c r="G25" s="18"/>
      <c r="H25" s="23">
        <f t="shared" si="0"/>
        <v>0</v>
      </c>
    </row>
    <row r="26" spans="2:8" x14ac:dyDescent="0.3">
      <c r="B26" s="4" t="s">
        <v>31</v>
      </c>
      <c r="C26" s="29">
        <v>40</v>
      </c>
      <c r="D26" s="29">
        <v>80</v>
      </c>
      <c r="E26" s="29">
        <v>40</v>
      </c>
      <c r="F26" s="29">
        <v>40</v>
      </c>
      <c r="G26" s="18"/>
      <c r="H26" s="23">
        <f t="shared" si="0"/>
        <v>0</v>
      </c>
    </row>
    <row r="27" spans="2:8" x14ac:dyDescent="0.3">
      <c r="B27" s="4" t="s">
        <v>32</v>
      </c>
      <c r="C27" s="29">
        <v>28</v>
      </c>
      <c r="D27" s="29">
        <v>80</v>
      </c>
      <c r="E27" s="29">
        <v>28</v>
      </c>
      <c r="F27" s="29">
        <v>28</v>
      </c>
      <c r="G27" s="18"/>
      <c r="H27" s="23">
        <f t="shared" si="0"/>
        <v>0</v>
      </c>
    </row>
    <row r="28" spans="2:8" x14ac:dyDescent="0.3">
      <c r="B28" s="4" t="s">
        <v>33</v>
      </c>
      <c r="C28" s="29">
        <v>34</v>
      </c>
      <c r="D28" s="29">
        <v>68</v>
      </c>
      <c r="E28" s="29">
        <v>68</v>
      </c>
      <c r="F28" s="29">
        <v>34</v>
      </c>
      <c r="G28" s="18"/>
      <c r="H28" s="23">
        <f t="shared" si="0"/>
        <v>0</v>
      </c>
    </row>
    <row r="29" spans="2:8" ht="24.8" customHeight="1" x14ac:dyDescent="0.3">
      <c r="B29" s="85" t="s">
        <v>35</v>
      </c>
      <c r="C29" s="85"/>
      <c r="D29" s="85"/>
      <c r="E29" s="85"/>
      <c r="F29" s="85"/>
      <c r="G29" s="85"/>
      <c r="H29" s="84">
        <f>SUM(H7:H28)</f>
        <v>0</v>
      </c>
    </row>
    <row r="30" spans="2:8" ht="16.149999999999999" x14ac:dyDescent="0.3">
      <c r="B30" s="98" t="s">
        <v>62</v>
      </c>
      <c r="C30" s="99"/>
      <c r="D30" s="99"/>
      <c r="E30" s="99"/>
      <c r="F30" s="99"/>
      <c r="G30" s="100"/>
      <c r="H30" s="84">
        <f>H29*21/100</f>
        <v>0</v>
      </c>
    </row>
    <row r="31" spans="2:8" ht="16.149999999999999" x14ac:dyDescent="0.3">
      <c r="B31" s="98" t="s">
        <v>63</v>
      </c>
      <c r="C31" s="99"/>
      <c r="D31" s="99"/>
      <c r="E31" s="99"/>
      <c r="F31" s="99"/>
      <c r="G31" s="100"/>
      <c r="H31" s="84">
        <f>H29+H30</f>
        <v>0</v>
      </c>
    </row>
    <row r="33" spans="2:12" ht="23.05" x14ac:dyDescent="0.45">
      <c r="B33" s="28" t="s">
        <v>37</v>
      </c>
      <c r="L33" s="24"/>
    </row>
    <row r="34" spans="2:12" ht="15" thickBot="1" x14ac:dyDescent="0.35">
      <c r="B34" s="25"/>
    </row>
    <row r="35" spans="2:12" ht="87" customHeight="1" thickBot="1" x14ac:dyDescent="0.4">
      <c r="B35" s="86" t="s">
        <v>36</v>
      </c>
      <c r="C35" s="87"/>
      <c r="D35" s="87"/>
      <c r="E35" s="87"/>
      <c r="F35" s="87"/>
      <c r="G35" s="87"/>
      <c r="H35" s="88"/>
    </row>
    <row r="38" spans="2:12" x14ac:dyDescent="0.3">
      <c r="B38" s="95" t="s">
        <v>22</v>
      </c>
      <c r="C38" s="96"/>
      <c r="D38" s="96"/>
      <c r="E38" s="96"/>
      <c r="F38" s="96"/>
      <c r="G38" s="96"/>
      <c r="H38" s="97"/>
    </row>
    <row r="39" spans="2:12" x14ac:dyDescent="0.3">
      <c r="B39" s="8" t="s">
        <v>24</v>
      </c>
      <c r="C39" s="26"/>
      <c r="D39" s="26"/>
      <c r="E39" s="26"/>
      <c r="F39" s="26"/>
      <c r="G39" s="27"/>
      <c r="H39" s="9"/>
    </row>
    <row r="40" spans="2:12" x14ac:dyDescent="0.3">
      <c r="B40" s="89" t="s">
        <v>25</v>
      </c>
      <c r="C40" s="90"/>
      <c r="D40" s="90"/>
      <c r="E40" s="90"/>
      <c r="F40" s="90"/>
      <c r="G40" s="90"/>
      <c r="H40" s="91"/>
    </row>
    <row r="41" spans="2:12" x14ac:dyDescent="0.3">
      <c r="B41" s="92" t="s">
        <v>34</v>
      </c>
      <c r="C41" s="93"/>
      <c r="D41" s="93"/>
      <c r="E41" s="93"/>
      <c r="F41" s="93"/>
      <c r="G41" s="93"/>
      <c r="H41" s="94"/>
    </row>
    <row r="56" spans="1:6" ht="72" x14ac:dyDescent="0.3">
      <c r="A56" s="10" t="s">
        <v>4</v>
      </c>
      <c r="B56" s="10">
        <v>1.07</v>
      </c>
      <c r="C56" s="10"/>
      <c r="D56" s="10"/>
      <c r="E56" s="10"/>
      <c r="F56" s="10"/>
    </row>
  </sheetData>
  <mergeCells count="7">
    <mergeCell ref="B29:G29"/>
    <mergeCell ref="B35:H35"/>
    <mergeCell ref="B40:H40"/>
    <mergeCell ref="B41:H41"/>
    <mergeCell ref="B38:H38"/>
    <mergeCell ref="B30:G30"/>
    <mergeCell ref="B31:G31"/>
  </mergeCells>
  <pageMargins left="0.7" right="0.7" top="0.75" bottom="0.75" header="0.3" footer="0.3"/>
  <pageSetup paperSize="9" scale="57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43FC0-8A09-41BB-BE4F-428F098CD930}">
  <sheetPr>
    <pageSetUpPr fitToPage="1"/>
  </sheetPr>
  <dimension ref="A2:L51"/>
  <sheetViews>
    <sheetView tabSelected="1" zoomScale="85" zoomScaleNormal="85" workbookViewId="0">
      <selection activeCell="C40" sqref="C40"/>
    </sheetView>
  </sheetViews>
  <sheetFormatPr baseColWidth="10" defaultColWidth="8.69921875" defaultRowHeight="14.4" x14ac:dyDescent="0.3"/>
  <cols>
    <col min="1" max="1" width="4.09765625" customWidth="1"/>
    <col min="2" max="2" width="49.69921875" customWidth="1"/>
    <col min="3" max="3" width="12.69921875" customWidth="1"/>
    <col min="4" max="4" width="11.09765625" hidden="1" customWidth="1"/>
    <col min="5" max="5" width="8.296875" customWidth="1"/>
    <col min="6" max="6" width="11.69921875" customWidth="1"/>
    <col min="7" max="7" width="7.296875" customWidth="1"/>
    <col min="8" max="8" width="11.296875" customWidth="1"/>
    <col min="9" max="9" width="8.09765625" customWidth="1"/>
    <col min="10" max="10" width="12.3984375" bestFit="1" customWidth="1"/>
    <col min="11" max="11" width="7.09765625" customWidth="1"/>
    <col min="12" max="12" width="12.09765625" bestFit="1" customWidth="1"/>
    <col min="13" max="13" width="10.3984375" bestFit="1" customWidth="1"/>
    <col min="14" max="14" width="11.3984375" customWidth="1"/>
  </cols>
  <sheetData>
    <row r="2" spans="2:12" ht="17.850000000000001" x14ac:dyDescent="0.3">
      <c r="E2" s="116" t="s">
        <v>39</v>
      </c>
      <c r="F2" s="117"/>
      <c r="G2" s="117"/>
      <c r="H2" s="117"/>
      <c r="I2" s="117"/>
      <c r="J2" s="117"/>
      <c r="K2" s="117"/>
      <c r="L2" s="117"/>
    </row>
    <row r="3" spans="2:12" x14ac:dyDescent="0.3">
      <c r="E3" s="118" t="s">
        <v>40</v>
      </c>
      <c r="F3" s="119"/>
      <c r="G3" s="120" t="s">
        <v>2</v>
      </c>
      <c r="H3" s="121"/>
      <c r="I3" s="120" t="s">
        <v>3</v>
      </c>
      <c r="J3" s="121"/>
      <c r="K3" s="122" t="s">
        <v>41</v>
      </c>
      <c r="L3" s="122"/>
    </row>
    <row r="4" spans="2:12" ht="28.8" x14ac:dyDescent="0.3">
      <c r="B4" s="31" t="s">
        <v>0</v>
      </c>
      <c r="C4" s="1" t="s">
        <v>42</v>
      </c>
      <c r="D4" s="32" t="s">
        <v>43</v>
      </c>
      <c r="E4" s="33" t="s">
        <v>44</v>
      </c>
      <c r="F4" s="33" t="s">
        <v>45</v>
      </c>
      <c r="G4" s="33" t="s">
        <v>44</v>
      </c>
      <c r="H4" s="33" t="s">
        <v>45</v>
      </c>
      <c r="I4" s="33" t="s">
        <v>44</v>
      </c>
      <c r="J4" s="33" t="s">
        <v>45</v>
      </c>
      <c r="K4" s="33" t="s">
        <v>44</v>
      </c>
      <c r="L4" s="33" t="s">
        <v>45</v>
      </c>
    </row>
    <row r="5" spans="2:12" ht="17.850000000000001" x14ac:dyDescent="0.35">
      <c r="B5" s="114" t="s">
        <v>23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</row>
    <row r="6" spans="2:12" x14ac:dyDescent="0.3">
      <c r="B6" s="104" t="s">
        <v>5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</row>
    <row r="7" spans="2:12" x14ac:dyDescent="0.3">
      <c r="B7" s="2" t="s">
        <v>10</v>
      </c>
      <c r="C7" s="34">
        <f>2.01*B51</f>
        <v>2.1507000000000001</v>
      </c>
      <c r="D7" s="34">
        <v>0</v>
      </c>
      <c r="E7" s="2">
        <v>100</v>
      </c>
      <c r="F7" s="34">
        <f t="shared" ref="F7:F22" si="0">(C7*E7)</f>
        <v>215.07</v>
      </c>
      <c r="G7" s="2">
        <v>100</v>
      </c>
      <c r="H7" s="34">
        <f t="shared" ref="H7:H18" si="1">(G7*C7)</f>
        <v>215.07</v>
      </c>
      <c r="I7" s="2">
        <v>250</v>
      </c>
      <c r="J7" s="34">
        <f t="shared" ref="J7:J18" si="2">(I7*C7)</f>
        <v>537.67500000000007</v>
      </c>
      <c r="K7" s="2">
        <v>100</v>
      </c>
      <c r="L7" s="34">
        <f t="shared" ref="L7:L18" si="3">(C7*K7)</f>
        <v>215.07</v>
      </c>
    </row>
    <row r="8" spans="2:12" ht="43.2" x14ac:dyDescent="0.3">
      <c r="B8" s="2" t="s">
        <v>11</v>
      </c>
      <c r="C8" s="34">
        <f>2.36*B51</f>
        <v>2.5251999999999999</v>
      </c>
      <c r="D8" s="34">
        <v>0</v>
      </c>
      <c r="E8" s="2">
        <v>75</v>
      </c>
      <c r="F8" s="34">
        <f t="shared" si="0"/>
        <v>189.39</v>
      </c>
      <c r="G8" s="2">
        <v>100</v>
      </c>
      <c r="H8" s="34">
        <f t="shared" si="1"/>
        <v>252.51999999999998</v>
      </c>
      <c r="I8" s="2">
        <v>250</v>
      </c>
      <c r="J8" s="34">
        <f t="shared" si="2"/>
        <v>631.29999999999995</v>
      </c>
      <c r="K8" s="2">
        <v>75</v>
      </c>
      <c r="L8" s="34">
        <f t="shared" si="3"/>
        <v>189.39</v>
      </c>
    </row>
    <row r="9" spans="2:12" ht="57.6" x14ac:dyDescent="0.3">
      <c r="B9" s="2" t="s">
        <v>12</v>
      </c>
      <c r="C9" s="34">
        <f>4.37*B51</f>
        <v>4.6759000000000004</v>
      </c>
      <c r="D9" s="34">
        <v>0</v>
      </c>
      <c r="E9" s="2">
        <v>75</v>
      </c>
      <c r="F9" s="34">
        <f t="shared" si="0"/>
        <v>350.69250000000005</v>
      </c>
      <c r="G9" s="2">
        <v>150</v>
      </c>
      <c r="H9" s="34">
        <f t="shared" si="1"/>
        <v>701.3850000000001</v>
      </c>
      <c r="I9" s="2">
        <v>150</v>
      </c>
      <c r="J9" s="34">
        <f t="shared" si="2"/>
        <v>701.3850000000001</v>
      </c>
      <c r="K9" s="2">
        <v>75</v>
      </c>
      <c r="L9" s="34">
        <f t="shared" si="3"/>
        <v>350.69250000000005</v>
      </c>
    </row>
    <row r="10" spans="2:12" ht="43.2" x14ac:dyDescent="0.3">
      <c r="B10" s="2" t="s">
        <v>21</v>
      </c>
      <c r="C10" s="34">
        <f>0.75*B51</f>
        <v>0.80249999999999999</v>
      </c>
      <c r="D10" s="34">
        <v>0</v>
      </c>
      <c r="E10" s="2">
        <v>150</v>
      </c>
      <c r="F10" s="34">
        <f t="shared" si="0"/>
        <v>120.375</v>
      </c>
      <c r="G10" s="2">
        <v>250</v>
      </c>
      <c r="H10" s="34">
        <f t="shared" si="1"/>
        <v>200.625</v>
      </c>
      <c r="I10" s="2">
        <v>300</v>
      </c>
      <c r="J10" s="34">
        <f t="shared" si="2"/>
        <v>240.75</v>
      </c>
      <c r="K10" s="2">
        <v>150</v>
      </c>
      <c r="L10" s="34">
        <f t="shared" si="3"/>
        <v>120.375</v>
      </c>
    </row>
    <row r="11" spans="2:12" ht="43.2" x14ac:dyDescent="0.3">
      <c r="B11" s="2" t="s">
        <v>20</v>
      </c>
      <c r="C11" s="34">
        <f>0.75*B51</f>
        <v>0.80249999999999999</v>
      </c>
      <c r="D11" s="34">
        <v>0</v>
      </c>
      <c r="E11" s="2">
        <v>100</v>
      </c>
      <c r="F11" s="34">
        <f t="shared" si="0"/>
        <v>80.25</v>
      </c>
      <c r="G11" s="2">
        <v>200</v>
      </c>
      <c r="H11" s="34">
        <f t="shared" si="1"/>
        <v>160.5</v>
      </c>
      <c r="I11" s="2">
        <v>200</v>
      </c>
      <c r="J11" s="34">
        <f t="shared" si="2"/>
        <v>160.5</v>
      </c>
      <c r="K11" s="2">
        <v>100</v>
      </c>
      <c r="L11" s="34">
        <f t="shared" si="3"/>
        <v>80.25</v>
      </c>
    </row>
    <row r="12" spans="2:12" ht="28.8" x14ac:dyDescent="0.3">
      <c r="B12" s="2" t="s">
        <v>13</v>
      </c>
      <c r="C12" s="34">
        <f>0.35*B51</f>
        <v>0.3745</v>
      </c>
      <c r="D12" s="34">
        <v>0</v>
      </c>
      <c r="E12" s="2">
        <v>75</v>
      </c>
      <c r="F12" s="34">
        <f t="shared" si="0"/>
        <v>28.087499999999999</v>
      </c>
      <c r="G12" s="2">
        <v>150</v>
      </c>
      <c r="H12" s="34">
        <f t="shared" si="1"/>
        <v>56.174999999999997</v>
      </c>
      <c r="I12" s="2">
        <v>250</v>
      </c>
      <c r="J12" s="34">
        <f t="shared" si="2"/>
        <v>93.625</v>
      </c>
      <c r="K12" s="2">
        <v>75</v>
      </c>
      <c r="L12" s="34">
        <f t="shared" si="3"/>
        <v>28.087499999999999</v>
      </c>
    </row>
    <row r="13" spans="2:12" x14ac:dyDescent="0.3">
      <c r="B13" s="2" t="s">
        <v>19</v>
      </c>
      <c r="C13" s="34">
        <f>3.4*B51</f>
        <v>3.6379999999999999</v>
      </c>
      <c r="D13" s="34">
        <v>0</v>
      </c>
      <c r="E13" s="2">
        <v>150</v>
      </c>
      <c r="F13" s="34">
        <f t="shared" si="0"/>
        <v>545.69999999999993</v>
      </c>
      <c r="G13" s="2">
        <v>250</v>
      </c>
      <c r="H13" s="34">
        <f t="shared" si="1"/>
        <v>909.5</v>
      </c>
      <c r="I13" s="2">
        <v>250</v>
      </c>
      <c r="J13" s="34">
        <f t="shared" si="2"/>
        <v>909.5</v>
      </c>
      <c r="K13" s="2">
        <v>150</v>
      </c>
      <c r="L13" s="34">
        <f t="shared" si="3"/>
        <v>545.69999999999993</v>
      </c>
    </row>
    <row r="14" spans="2:12" ht="28.8" x14ac:dyDescent="0.3">
      <c r="B14" s="2" t="s">
        <v>18</v>
      </c>
      <c r="C14" s="34">
        <f>5.35*B51</f>
        <v>5.7244999999999999</v>
      </c>
      <c r="D14" s="34">
        <v>0</v>
      </c>
      <c r="E14" s="2">
        <v>150</v>
      </c>
      <c r="F14" s="34">
        <f t="shared" si="0"/>
        <v>858.67499999999995</v>
      </c>
      <c r="G14" s="2">
        <v>300</v>
      </c>
      <c r="H14" s="34">
        <f t="shared" si="1"/>
        <v>1717.35</v>
      </c>
      <c r="I14" s="2">
        <v>300</v>
      </c>
      <c r="J14" s="34">
        <f t="shared" si="2"/>
        <v>1717.35</v>
      </c>
      <c r="K14" s="2">
        <v>150</v>
      </c>
      <c r="L14" s="34">
        <f t="shared" si="3"/>
        <v>858.67499999999995</v>
      </c>
    </row>
    <row r="15" spans="2:12" x14ac:dyDescent="0.3">
      <c r="B15" s="2" t="s">
        <v>16</v>
      </c>
      <c r="C15" s="34">
        <f>230*B51</f>
        <v>246.10000000000002</v>
      </c>
      <c r="D15" s="34">
        <v>0</v>
      </c>
      <c r="E15" s="2">
        <v>1</v>
      </c>
      <c r="F15" s="34">
        <f t="shared" si="0"/>
        <v>246.10000000000002</v>
      </c>
      <c r="G15" s="2">
        <v>1</v>
      </c>
      <c r="H15" s="34">
        <f t="shared" si="1"/>
        <v>246.10000000000002</v>
      </c>
      <c r="I15" s="2">
        <v>1</v>
      </c>
      <c r="J15" s="34">
        <f t="shared" si="2"/>
        <v>246.10000000000002</v>
      </c>
      <c r="K15" s="2">
        <v>1</v>
      </c>
      <c r="L15" s="34">
        <f t="shared" si="3"/>
        <v>246.10000000000002</v>
      </c>
    </row>
    <row r="16" spans="2:12" x14ac:dyDescent="0.3">
      <c r="B16" s="2" t="s">
        <v>17</v>
      </c>
      <c r="C16" s="34">
        <f>80.5*B51</f>
        <v>86.135000000000005</v>
      </c>
      <c r="D16" s="34">
        <v>0</v>
      </c>
      <c r="E16" s="2">
        <v>1</v>
      </c>
      <c r="F16" s="34">
        <f t="shared" si="0"/>
        <v>86.135000000000005</v>
      </c>
      <c r="G16" s="2">
        <v>1</v>
      </c>
      <c r="H16" s="34">
        <f t="shared" si="1"/>
        <v>86.135000000000005</v>
      </c>
      <c r="I16" s="2">
        <v>1</v>
      </c>
      <c r="J16" s="34">
        <f t="shared" si="2"/>
        <v>86.135000000000005</v>
      </c>
      <c r="K16" s="2">
        <v>1</v>
      </c>
      <c r="L16" s="34">
        <f t="shared" si="3"/>
        <v>86.135000000000005</v>
      </c>
    </row>
    <row r="17" spans="2:12" x14ac:dyDescent="0.3">
      <c r="B17" s="2" t="s">
        <v>15</v>
      </c>
      <c r="C17" s="34">
        <f>54.1*B51</f>
        <v>57.887000000000008</v>
      </c>
      <c r="D17" s="34">
        <v>0</v>
      </c>
      <c r="E17" s="2">
        <v>1</v>
      </c>
      <c r="F17" s="34">
        <f t="shared" si="0"/>
        <v>57.887000000000008</v>
      </c>
      <c r="G17" s="2">
        <v>1</v>
      </c>
      <c r="H17" s="34">
        <f t="shared" si="1"/>
        <v>57.887000000000008</v>
      </c>
      <c r="I17" s="2">
        <v>1</v>
      </c>
      <c r="J17" s="34">
        <f t="shared" si="2"/>
        <v>57.887000000000008</v>
      </c>
      <c r="K17" s="2">
        <v>1</v>
      </c>
      <c r="L17" s="34">
        <f t="shared" si="3"/>
        <v>57.887000000000008</v>
      </c>
    </row>
    <row r="18" spans="2:12" ht="28.8" x14ac:dyDescent="0.3">
      <c r="B18" s="40" t="s">
        <v>14</v>
      </c>
      <c r="C18" s="41">
        <f>1265*B51</f>
        <v>1353.5500000000002</v>
      </c>
      <c r="D18" s="41">
        <v>0</v>
      </c>
      <c r="E18" s="40">
        <v>1</v>
      </c>
      <c r="F18" s="41">
        <f t="shared" si="0"/>
        <v>1353.5500000000002</v>
      </c>
      <c r="G18" s="40">
        <v>1</v>
      </c>
      <c r="H18" s="41">
        <f t="shared" si="1"/>
        <v>1353.5500000000002</v>
      </c>
      <c r="I18" s="40">
        <v>1</v>
      </c>
      <c r="J18" s="34">
        <f t="shared" si="2"/>
        <v>1353.5500000000002</v>
      </c>
      <c r="K18" s="40">
        <v>1</v>
      </c>
      <c r="L18" s="41">
        <f t="shared" si="3"/>
        <v>1353.5500000000002</v>
      </c>
    </row>
    <row r="19" spans="2:12" x14ac:dyDescent="0.3">
      <c r="B19" s="106" t="s">
        <v>6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8"/>
    </row>
    <row r="20" spans="2:12" x14ac:dyDescent="0.3">
      <c r="B20" s="42" t="s">
        <v>1</v>
      </c>
      <c r="C20" s="43">
        <f>575*B51</f>
        <v>615.25</v>
      </c>
      <c r="D20" s="43">
        <v>0</v>
      </c>
      <c r="E20" s="42">
        <v>0</v>
      </c>
      <c r="F20" s="34">
        <f t="shared" si="0"/>
        <v>0</v>
      </c>
      <c r="G20" s="42">
        <v>1</v>
      </c>
      <c r="H20" s="43">
        <f>(G20*C20)</f>
        <v>615.25</v>
      </c>
      <c r="I20" s="2">
        <v>0</v>
      </c>
      <c r="J20" s="43">
        <f>(I20*C20)</f>
        <v>0</v>
      </c>
      <c r="K20" s="42">
        <v>0</v>
      </c>
      <c r="L20" s="34">
        <f>(K20*K20)</f>
        <v>0</v>
      </c>
    </row>
    <row r="21" spans="2:12" ht="28.8" x14ac:dyDescent="0.3">
      <c r="B21" s="44" t="s">
        <v>8</v>
      </c>
      <c r="C21" s="45">
        <v>150</v>
      </c>
      <c r="D21" s="34">
        <v>0</v>
      </c>
      <c r="E21" s="46">
        <v>2</v>
      </c>
      <c r="F21" s="34">
        <f t="shared" si="0"/>
        <v>300</v>
      </c>
      <c r="G21" s="46">
        <v>2</v>
      </c>
      <c r="H21" s="34">
        <f>(G21*C21)</f>
        <v>300</v>
      </c>
      <c r="I21" s="46">
        <v>3</v>
      </c>
      <c r="J21" s="34">
        <f>(I21*C21)</f>
        <v>450</v>
      </c>
      <c r="K21" s="46">
        <v>2</v>
      </c>
      <c r="L21" s="34">
        <f>(C21*K21)</f>
        <v>300</v>
      </c>
    </row>
    <row r="22" spans="2:12" x14ac:dyDescent="0.3">
      <c r="B22" s="2" t="s">
        <v>7</v>
      </c>
      <c r="C22" s="47">
        <v>0.5</v>
      </c>
      <c r="D22" s="34">
        <v>0</v>
      </c>
      <c r="E22" s="2">
        <v>50</v>
      </c>
      <c r="F22" s="34">
        <f t="shared" si="0"/>
        <v>25</v>
      </c>
      <c r="G22" s="2">
        <v>100</v>
      </c>
      <c r="H22" s="34">
        <f>(G22*C22)</f>
        <v>50</v>
      </c>
      <c r="I22" s="2">
        <v>100</v>
      </c>
      <c r="J22" s="34">
        <f>(I22*C22)</f>
        <v>50</v>
      </c>
      <c r="K22" s="2">
        <v>50</v>
      </c>
      <c r="L22" s="34">
        <f>(C22*K22)</f>
        <v>25</v>
      </c>
    </row>
    <row r="23" spans="2:12" x14ac:dyDescent="0.3">
      <c r="B23" s="2" t="s">
        <v>9</v>
      </c>
      <c r="C23" s="47">
        <v>100</v>
      </c>
      <c r="D23" s="34">
        <v>0</v>
      </c>
      <c r="E23" s="2">
        <v>4</v>
      </c>
      <c r="F23" s="34">
        <f>(C23*E23)</f>
        <v>400</v>
      </c>
      <c r="G23" s="2">
        <v>5</v>
      </c>
      <c r="H23" s="34">
        <f>(G23*C23)</f>
        <v>500</v>
      </c>
      <c r="I23" s="2">
        <v>5</v>
      </c>
      <c r="J23" s="34">
        <f>(I23*C23)</f>
        <v>500</v>
      </c>
      <c r="K23" s="2">
        <v>4</v>
      </c>
      <c r="L23" s="34">
        <f>(C23*K23)</f>
        <v>400</v>
      </c>
    </row>
    <row r="24" spans="2:12" x14ac:dyDescent="0.3">
      <c r="B24" s="2" t="s">
        <v>29</v>
      </c>
      <c r="C24" s="47">
        <v>0.52</v>
      </c>
      <c r="D24" s="34">
        <v>0</v>
      </c>
      <c r="E24" s="2">
        <v>220</v>
      </c>
      <c r="F24" s="34">
        <f t="shared" ref="F24:F28" si="4">(C24*E24)</f>
        <v>114.4</v>
      </c>
      <c r="G24" s="2">
        <v>440</v>
      </c>
      <c r="H24" s="34">
        <f t="shared" ref="H24:H28" si="5">(G24*C24)</f>
        <v>228.8</v>
      </c>
      <c r="I24" s="2">
        <v>440</v>
      </c>
      <c r="J24" s="34">
        <f t="shared" ref="J24:J28" si="6">(I24*C24)</f>
        <v>228.8</v>
      </c>
      <c r="K24" s="2">
        <v>220</v>
      </c>
      <c r="L24" s="34">
        <f t="shared" ref="L24:L28" si="7">(C24*K24)</f>
        <v>114.4</v>
      </c>
    </row>
    <row r="25" spans="2:12" x14ac:dyDescent="0.3">
      <c r="B25" s="2" t="s">
        <v>30</v>
      </c>
      <c r="C25" s="47">
        <v>0.52</v>
      </c>
      <c r="D25" s="34">
        <v>0</v>
      </c>
      <c r="E25" s="2">
        <v>100</v>
      </c>
      <c r="F25" s="34">
        <f t="shared" si="4"/>
        <v>52</v>
      </c>
      <c r="G25" s="2">
        <v>200</v>
      </c>
      <c r="H25" s="34">
        <f t="shared" si="5"/>
        <v>104</v>
      </c>
      <c r="I25" s="2">
        <v>200</v>
      </c>
      <c r="J25" s="34">
        <f t="shared" si="6"/>
        <v>104</v>
      </c>
      <c r="K25" s="2">
        <v>100</v>
      </c>
      <c r="L25" s="34">
        <f t="shared" si="7"/>
        <v>52</v>
      </c>
    </row>
    <row r="26" spans="2:12" x14ac:dyDescent="0.3">
      <c r="B26" s="2" t="s">
        <v>31</v>
      </c>
      <c r="C26" s="47">
        <v>0.52</v>
      </c>
      <c r="D26" s="34">
        <v>0</v>
      </c>
      <c r="E26" s="2">
        <v>40</v>
      </c>
      <c r="F26" s="34">
        <f t="shared" si="4"/>
        <v>20.8</v>
      </c>
      <c r="G26" s="2">
        <v>80</v>
      </c>
      <c r="H26" s="34">
        <f t="shared" si="5"/>
        <v>41.6</v>
      </c>
      <c r="I26" s="2">
        <v>40</v>
      </c>
      <c r="J26" s="34">
        <f t="shared" si="6"/>
        <v>20.8</v>
      </c>
      <c r="K26" s="2">
        <v>40</v>
      </c>
      <c r="L26" s="34">
        <f t="shared" si="7"/>
        <v>20.8</v>
      </c>
    </row>
    <row r="27" spans="2:12" ht="28.8" x14ac:dyDescent="0.3">
      <c r="B27" s="2" t="s">
        <v>32</v>
      </c>
      <c r="C27" s="47">
        <v>0.52</v>
      </c>
      <c r="D27" s="34">
        <v>0</v>
      </c>
      <c r="E27" s="2">
        <v>28</v>
      </c>
      <c r="F27" s="34">
        <f t="shared" si="4"/>
        <v>14.56</v>
      </c>
      <c r="G27" s="2">
        <v>80</v>
      </c>
      <c r="H27" s="34">
        <f t="shared" si="5"/>
        <v>41.6</v>
      </c>
      <c r="I27" s="2">
        <v>28</v>
      </c>
      <c r="J27" s="34">
        <f t="shared" si="6"/>
        <v>14.56</v>
      </c>
      <c r="K27" s="2">
        <v>28</v>
      </c>
      <c r="L27" s="34">
        <f t="shared" si="7"/>
        <v>14.56</v>
      </c>
    </row>
    <row r="28" spans="2:12" x14ac:dyDescent="0.3">
      <c r="B28" s="2" t="s">
        <v>33</v>
      </c>
      <c r="C28" s="47">
        <v>0.52</v>
      </c>
      <c r="D28" s="34">
        <v>0</v>
      </c>
      <c r="E28" s="2">
        <v>34</v>
      </c>
      <c r="F28" s="34">
        <f t="shared" si="4"/>
        <v>17.68</v>
      </c>
      <c r="G28" s="2">
        <v>68</v>
      </c>
      <c r="H28" s="34">
        <f t="shared" si="5"/>
        <v>35.36</v>
      </c>
      <c r="I28" s="2">
        <v>68</v>
      </c>
      <c r="J28" s="34">
        <f t="shared" si="6"/>
        <v>35.36</v>
      </c>
      <c r="K28" s="2">
        <v>34</v>
      </c>
      <c r="L28" s="34">
        <f t="shared" si="7"/>
        <v>17.68</v>
      </c>
    </row>
    <row r="29" spans="2:12" x14ac:dyDescent="0.3">
      <c r="B29" s="48" t="s">
        <v>46</v>
      </c>
      <c r="C29" s="49"/>
      <c r="D29" s="49"/>
      <c r="E29" s="49"/>
      <c r="F29" s="50">
        <f>SUM(F7:F28)</f>
        <v>5076.3520000000008</v>
      </c>
      <c r="G29" s="49"/>
      <c r="H29" s="50">
        <f>SUM(H7:H28)</f>
        <v>7873.4070000000011</v>
      </c>
      <c r="I29" s="49"/>
      <c r="J29" s="50">
        <f>SUM(J7:J28)</f>
        <v>8139.277000000001</v>
      </c>
      <c r="K29" s="49"/>
      <c r="L29" s="50">
        <f>SUM(L7:L28)</f>
        <v>5076.3520000000008</v>
      </c>
    </row>
    <row r="30" spans="2:12" x14ac:dyDescent="0.3">
      <c r="B30" s="51" t="s">
        <v>47</v>
      </c>
      <c r="C30" s="49"/>
      <c r="D30" s="49"/>
      <c r="E30" s="49"/>
      <c r="F30" s="109">
        <f>F29+J29+H29+L29</f>
        <v>26165.387999999999</v>
      </c>
      <c r="G30" s="110"/>
      <c r="H30" s="110"/>
      <c r="I30" s="110"/>
      <c r="J30" s="110"/>
      <c r="K30" s="110"/>
      <c r="L30" s="110"/>
    </row>
    <row r="31" spans="2:12" x14ac:dyDescent="0.3"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</row>
    <row r="32" spans="2:12" x14ac:dyDescent="0.3"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</row>
    <row r="33" spans="2:12" s="3" customFormat="1" x14ac:dyDescent="0.3">
      <c r="B33" s="111" t="s">
        <v>22</v>
      </c>
      <c r="C33" s="112"/>
      <c r="D33" s="112"/>
      <c r="E33" s="112"/>
      <c r="F33" s="112"/>
      <c r="G33" s="112"/>
      <c r="H33" s="113"/>
      <c r="I33" s="46"/>
      <c r="J33" s="46"/>
      <c r="K33" s="46"/>
      <c r="L33" s="46"/>
    </row>
    <row r="34" spans="2:12" s="3" customFormat="1" x14ac:dyDescent="0.3">
      <c r="B34" s="101" t="s">
        <v>24</v>
      </c>
      <c r="C34" s="102"/>
      <c r="D34" s="102"/>
      <c r="E34" s="102"/>
      <c r="F34" s="102"/>
      <c r="G34" s="102"/>
      <c r="H34" s="103"/>
      <c r="I34" s="46"/>
      <c r="J34" s="46"/>
      <c r="K34" s="46"/>
      <c r="L34" s="46"/>
    </row>
    <row r="35" spans="2:12" s="3" customFormat="1" x14ac:dyDescent="0.3">
      <c r="B35" s="89" t="s">
        <v>25</v>
      </c>
      <c r="C35" s="90"/>
      <c r="D35" s="90"/>
      <c r="E35" s="90"/>
      <c r="F35" s="90"/>
      <c r="G35" s="90"/>
      <c r="H35" s="91"/>
      <c r="I35" s="46"/>
      <c r="J35" s="46"/>
      <c r="K35" s="46"/>
      <c r="L35" s="46"/>
    </row>
    <row r="36" spans="2:12" s="3" customFormat="1" ht="25.35" customHeight="1" x14ac:dyDescent="0.3">
      <c r="B36" s="92" t="s">
        <v>34</v>
      </c>
      <c r="C36" s="93"/>
      <c r="D36" s="93"/>
      <c r="E36" s="93"/>
      <c r="F36" s="93"/>
      <c r="G36" s="93"/>
      <c r="H36" s="94"/>
      <c r="I36" s="46"/>
      <c r="J36" s="46"/>
      <c r="K36" s="46"/>
      <c r="L36" s="46"/>
    </row>
    <row r="51" spans="1:2" hidden="1" x14ac:dyDescent="0.3">
      <c r="A51" s="37" t="s">
        <v>4</v>
      </c>
      <c r="B51" s="37">
        <v>1.07</v>
      </c>
    </row>
  </sheetData>
  <mergeCells count="13">
    <mergeCell ref="B5:L5"/>
    <mergeCell ref="E2:L2"/>
    <mergeCell ref="E3:F3"/>
    <mergeCell ref="G3:H3"/>
    <mergeCell ref="I3:J3"/>
    <mergeCell ref="K3:L3"/>
    <mergeCell ref="B35:H35"/>
    <mergeCell ref="B36:H36"/>
    <mergeCell ref="B34:H34"/>
    <mergeCell ref="B6:L6"/>
    <mergeCell ref="B19:L19"/>
    <mergeCell ref="F30:L30"/>
    <mergeCell ref="B33:H33"/>
  </mergeCells>
  <pageMargins left="0.7" right="0.7" top="0.75" bottom="0.75" header="0.3" footer="0.3"/>
  <pageSetup paperSize="9" scale="57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97F43-36C2-4B04-BAE9-4F1B4664C699}">
  <sheetPr>
    <pageSetUpPr fitToPage="1"/>
  </sheetPr>
  <dimension ref="A2:L43"/>
  <sheetViews>
    <sheetView zoomScaleNormal="100" workbookViewId="0">
      <selection activeCell="E24" sqref="E24:L24"/>
    </sheetView>
  </sheetViews>
  <sheetFormatPr baseColWidth="10" defaultColWidth="8.69921875" defaultRowHeight="14.4" x14ac:dyDescent="0.3"/>
  <cols>
    <col min="1" max="1" width="4.09765625" customWidth="1"/>
    <col min="2" max="2" width="34" customWidth="1"/>
    <col min="3" max="3" width="14.8984375" hidden="1" customWidth="1"/>
    <col min="4" max="4" width="11.09765625" hidden="1" customWidth="1"/>
    <col min="5" max="5" width="10.8984375" customWidth="1"/>
    <col min="6" max="6" width="12.296875" customWidth="1"/>
    <col min="7" max="7" width="11.09765625" customWidth="1"/>
    <col min="8" max="8" width="12.3984375" customWidth="1"/>
    <col min="9" max="9" width="14.09765625" customWidth="1"/>
    <col min="10" max="10" width="10.8984375" customWidth="1"/>
    <col min="11" max="11" width="11.09765625" bestFit="1" customWidth="1"/>
    <col min="12" max="12" width="10.3984375" customWidth="1"/>
  </cols>
  <sheetData>
    <row r="2" spans="2:12" ht="17.850000000000001" x14ac:dyDescent="0.3">
      <c r="B2" s="52" t="s">
        <v>48</v>
      </c>
      <c r="C2" s="53"/>
      <c r="D2" s="53"/>
      <c r="E2" s="120" t="s">
        <v>40</v>
      </c>
      <c r="F2" s="121"/>
      <c r="G2" s="120" t="s">
        <v>2</v>
      </c>
      <c r="H2" s="121"/>
      <c r="I2" s="120" t="s">
        <v>3</v>
      </c>
      <c r="J2" s="121"/>
      <c r="K2" s="120" t="s">
        <v>41</v>
      </c>
      <c r="L2" s="121"/>
    </row>
    <row r="3" spans="2:12" ht="17.850000000000001" x14ac:dyDescent="0.35">
      <c r="B3" s="38"/>
      <c r="C3" s="39"/>
      <c r="D3" s="39"/>
      <c r="E3" s="33" t="s">
        <v>39</v>
      </c>
      <c r="F3" s="32" t="s">
        <v>49</v>
      </c>
      <c r="G3" s="33" t="s">
        <v>39</v>
      </c>
      <c r="H3" s="32" t="s">
        <v>49</v>
      </c>
      <c r="I3" s="33" t="s">
        <v>39</v>
      </c>
      <c r="J3" s="32" t="s">
        <v>49</v>
      </c>
      <c r="K3" s="33" t="s">
        <v>39</v>
      </c>
      <c r="L3" s="32" t="s">
        <v>49</v>
      </c>
    </row>
    <row r="4" spans="2:12" hidden="1" x14ac:dyDescent="0.3">
      <c r="B4" s="54" t="s">
        <v>5</v>
      </c>
      <c r="E4" s="55">
        <f>SUM(F7:F18)</f>
        <v>6520.152</v>
      </c>
      <c r="F4" s="32"/>
      <c r="G4" s="55">
        <f>SUM(H7:H18)</f>
        <v>5956.7970000000005</v>
      </c>
      <c r="H4" s="32"/>
      <c r="I4" s="55">
        <f>SUM(J7:J18)</f>
        <v>6735.7570000000005</v>
      </c>
      <c r="J4" s="32"/>
      <c r="K4" s="55">
        <f>SUM(L7:L18)</f>
        <v>0</v>
      </c>
      <c r="L4" s="32"/>
    </row>
    <row r="5" spans="2:12" hidden="1" x14ac:dyDescent="0.3">
      <c r="B5" s="54" t="s">
        <v>6</v>
      </c>
      <c r="D5" s="56"/>
      <c r="E5" s="55">
        <f>SUM(F20:F23)</f>
        <v>1465.25</v>
      </c>
      <c r="F5" s="32"/>
      <c r="G5" s="55">
        <f>SUM(H20:H23)</f>
        <v>1465.25</v>
      </c>
      <c r="H5" s="32"/>
      <c r="I5" s="55">
        <f>SUM(J20:J23)</f>
        <v>1000</v>
      </c>
      <c r="J5" s="32"/>
      <c r="K5" s="55">
        <f>SUM(L20:L23)</f>
        <v>0</v>
      </c>
      <c r="L5" s="32"/>
    </row>
    <row r="6" spans="2:12" x14ac:dyDescent="0.3">
      <c r="B6" s="35" t="s">
        <v>46</v>
      </c>
      <c r="C6" s="57"/>
      <c r="D6" s="58"/>
      <c r="E6" s="59">
        <f>[1]Preus!F29</f>
        <v>5076.3520000000008</v>
      </c>
      <c r="F6" s="60">
        <f>SUM(F4+F5)</f>
        <v>0</v>
      </c>
      <c r="G6" s="59">
        <f>[1]Preus!H29</f>
        <v>7873.4070000000011</v>
      </c>
      <c r="H6" s="60">
        <f t="shared" ref="H6:J6" si="0">SUM(H4+H5)</f>
        <v>0</v>
      </c>
      <c r="I6" s="59">
        <f>[1]Preus!J29</f>
        <v>8139.277000000001</v>
      </c>
      <c r="J6" s="60">
        <f t="shared" si="0"/>
        <v>0</v>
      </c>
      <c r="K6" s="59">
        <f>[1]Preus!L29</f>
        <v>5076.3520000000008</v>
      </c>
      <c r="L6" s="60">
        <f t="shared" ref="L6" si="1">SUM(L4+L5)</f>
        <v>0</v>
      </c>
    </row>
    <row r="7" spans="2:12" ht="14.7" hidden="1" customHeight="1" x14ac:dyDescent="0.3">
      <c r="B7" s="61" t="s">
        <v>10</v>
      </c>
      <c r="C7" s="62">
        <f>2.01*B31</f>
        <v>2.1507000000000001</v>
      </c>
      <c r="D7" s="62">
        <v>0</v>
      </c>
      <c r="E7" s="61">
        <v>200</v>
      </c>
      <c r="F7" s="62">
        <f t="shared" ref="F7:F18" si="2">(C7*E7)</f>
        <v>430.14</v>
      </c>
      <c r="G7" s="61">
        <v>100</v>
      </c>
      <c r="H7" s="62">
        <f t="shared" ref="H7:H18" si="3">(G7*C7)</f>
        <v>215.07</v>
      </c>
      <c r="I7" s="61">
        <v>250</v>
      </c>
      <c r="J7" s="62">
        <f t="shared" ref="J7:J18" si="4">(I7*C7)</f>
        <v>537.67500000000007</v>
      </c>
    </row>
    <row r="8" spans="2:12" ht="14.7" hidden="1" customHeight="1" x14ac:dyDescent="0.3">
      <c r="B8" s="61" t="s">
        <v>11</v>
      </c>
      <c r="C8" s="62">
        <f>2.36*B31</f>
        <v>2.5251999999999999</v>
      </c>
      <c r="D8" s="62">
        <v>0</v>
      </c>
      <c r="E8" s="61">
        <v>150</v>
      </c>
      <c r="F8" s="62">
        <f t="shared" si="2"/>
        <v>378.78</v>
      </c>
      <c r="G8" s="61">
        <v>100</v>
      </c>
      <c r="H8" s="62">
        <f t="shared" si="3"/>
        <v>252.51999999999998</v>
      </c>
      <c r="I8" s="61">
        <v>250</v>
      </c>
      <c r="J8" s="62">
        <f t="shared" si="4"/>
        <v>631.29999999999995</v>
      </c>
    </row>
    <row r="9" spans="2:12" ht="27.65" hidden="1" customHeight="1" x14ac:dyDescent="0.3">
      <c r="B9" s="2" t="s">
        <v>12</v>
      </c>
      <c r="C9" s="62">
        <f>4.37*B31</f>
        <v>4.6759000000000004</v>
      </c>
      <c r="D9" s="63">
        <v>0</v>
      </c>
      <c r="E9" s="64">
        <v>150</v>
      </c>
      <c r="F9" s="63">
        <f t="shared" si="2"/>
        <v>701.3850000000001</v>
      </c>
      <c r="G9" s="64">
        <v>150</v>
      </c>
      <c r="H9" s="63">
        <f t="shared" si="3"/>
        <v>701.3850000000001</v>
      </c>
      <c r="I9" s="64">
        <v>150</v>
      </c>
      <c r="J9" s="63">
        <f t="shared" si="4"/>
        <v>701.3850000000001</v>
      </c>
    </row>
    <row r="10" spans="2:12" ht="14.7" hidden="1" customHeight="1" x14ac:dyDescent="0.3">
      <c r="B10" s="61" t="s">
        <v>21</v>
      </c>
      <c r="C10" s="62">
        <f>0.75*B31</f>
        <v>0.80249999999999999</v>
      </c>
      <c r="D10" s="62">
        <v>0</v>
      </c>
      <c r="E10" s="61">
        <v>300</v>
      </c>
      <c r="F10" s="62">
        <f t="shared" si="2"/>
        <v>240.75</v>
      </c>
      <c r="G10" s="61">
        <v>250</v>
      </c>
      <c r="H10" s="62">
        <f t="shared" si="3"/>
        <v>200.625</v>
      </c>
      <c r="I10" s="61">
        <v>300</v>
      </c>
      <c r="J10" s="62">
        <f t="shared" si="4"/>
        <v>240.75</v>
      </c>
    </row>
    <row r="11" spans="2:12" ht="14.7" hidden="1" customHeight="1" x14ac:dyDescent="0.3">
      <c r="B11" s="61" t="s">
        <v>20</v>
      </c>
      <c r="C11" s="62">
        <f>0.75*B31</f>
        <v>0.80249999999999999</v>
      </c>
      <c r="D11" s="62">
        <v>0</v>
      </c>
      <c r="E11" s="61">
        <v>200</v>
      </c>
      <c r="F11" s="62">
        <f t="shared" si="2"/>
        <v>160.5</v>
      </c>
      <c r="G11" s="61">
        <v>200</v>
      </c>
      <c r="H11" s="62">
        <f t="shared" si="3"/>
        <v>160.5</v>
      </c>
      <c r="I11" s="61">
        <v>200</v>
      </c>
      <c r="J11" s="62">
        <f t="shared" si="4"/>
        <v>160.5</v>
      </c>
    </row>
    <row r="12" spans="2:12" ht="14.7" hidden="1" customHeight="1" x14ac:dyDescent="0.3">
      <c r="B12" s="61" t="s">
        <v>13</v>
      </c>
      <c r="C12" s="62">
        <f>0.35*B31</f>
        <v>0.3745</v>
      </c>
      <c r="D12" s="62">
        <v>0</v>
      </c>
      <c r="E12" s="61">
        <v>150</v>
      </c>
      <c r="F12" s="62">
        <f t="shared" si="2"/>
        <v>56.174999999999997</v>
      </c>
      <c r="G12" s="61">
        <v>150</v>
      </c>
      <c r="H12" s="62">
        <f t="shared" si="3"/>
        <v>56.174999999999997</v>
      </c>
      <c r="I12" s="61">
        <v>250</v>
      </c>
      <c r="J12" s="62">
        <f t="shared" si="4"/>
        <v>93.625</v>
      </c>
    </row>
    <row r="13" spans="2:12" ht="14.7" hidden="1" customHeight="1" x14ac:dyDescent="0.3">
      <c r="B13" s="61" t="s">
        <v>19</v>
      </c>
      <c r="C13" s="62">
        <f>3.4*B31</f>
        <v>3.6379999999999999</v>
      </c>
      <c r="D13" s="62">
        <v>0</v>
      </c>
      <c r="E13" s="61">
        <v>300</v>
      </c>
      <c r="F13" s="62">
        <f t="shared" si="2"/>
        <v>1091.3999999999999</v>
      </c>
      <c r="G13" s="61">
        <v>250</v>
      </c>
      <c r="H13" s="62">
        <f t="shared" si="3"/>
        <v>909.5</v>
      </c>
      <c r="I13" s="61">
        <v>250</v>
      </c>
      <c r="J13" s="62">
        <f t="shared" si="4"/>
        <v>909.5</v>
      </c>
    </row>
    <row r="14" spans="2:12" ht="14.7" hidden="1" customHeight="1" x14ac:dyDescent="0.3">
      <c r="B14" s="61" t="s">
        <v>18</v>
      </c>
      <c r="C14" s="62">
        <f>5.35*B31</f>
        <v>5.7244999999999999</v>
      </c>
      <c r="D14" s="62">
        <v>0</v>
      </c>
      <c r="E14" s="61">
        <v>300</v>
      </c>
      <c r="F14" s="62">
        <f t="shared" si="2"/>
        <v>1717.35</v>
      </c>
      <c r="G14" s="61">
        <v>300</v>
      </c>
      <c r="H14" s="62">
        <f t="shared" si="3"/>
        <v>1717.35</v>
      </c>
      <c r="I14" s="61">
        <v>300</v>
      </c>
      <c r="J14" s="62">
        <f t="shared" si="4"/>
        <v>1717.35</v>
      </c>
    </row>
    <row r="15" spans="2:12" ht="14.7" hidden="1" customHeight="1" x14ac:dyDescent="0.3">
      <c r="B15" s="61" t="s">
        <v>16</v>
      </c>
      <c r="C15" s="62">
        <f>230*B31</f>
        <v>246.10000000000002</v>
      </c>
      <c r="D15" s="62">
        <v>0</v>
      </c>
      <c r="E15" s="61">
        <v>1</v>
      </c>
      <c r="F15" s="62">
        <f t="shared" si="2"/>
        <v>246.10000000000002</v>
      </c>
      <c r="G15" s="61">
        <v>1</v>
      </c>
      <c r="H15" s="62">
        <f t="shared" si="3"/>
        <v>246.10000000000002</v>
      </c>
      <c r="I15" s="61">
        <v>1</v>
      </c>
      <c r="J15" s="62">
        <f t="shared" si="4"/>
        <v>246.10000000000002</v>
      </c>
    </row>
    <row r="16" spans="2:12" ht="14.7" hidden="1" customHeight="1" x14ac:dyDescent="0.3">
      <c r="B16" s="61" t="s">
        <v>17</v>
      </c>
      <c r="C16" s="62">
        <f>80.5*B31</f>
        <v>86.135000000000005</v>
      </c>
      <c r="D16" s="62">
        <v>0</v>
      </c>
      <c r="E16" s="61">
        <v>1</v>
      </c>
      <c r="F16" s="62">
        <f t="shared" si="2"/>
        <v>86.135000000000005</v>
      </c>
      <c r="G16" s="61">
        <v>1</v>
      </c>
      <c r="H16" s="62">
        <f t="shared" si="3"/>
        <v>86.135000000000005</v>
      </c>
      <c r="I16" s="61">
        <v>1</v>
      </c>
      <c r="J16" s="62">
        <f t="shared" si="4"/>
        <v>86.135000000000005</v>
      </c>
    </row>
    <row r="17" spans="1:12" ht="14.7" hidden="1" customHeight="1" x14ac:dyDescent="0.3">
      <c r="B17" s="61" t="s">
        <v>15</v>
      </c>
      <c r="C17" s="62">
        <f>54.1*B31</f>
        <v>57.887000000000008</v>
      </c>
      <c r="D17" s="62">
        <v>0</v>
      </c>
      <c r="E17" s="61">
        <v>1</v>
      </c>
      <c r="F17" s="62">
        <f t="shared" si="2"/>
        <v>57.887000000000008</v>
      </c>
      <c r="G17" s="61">
        <v>1</v>
      </c>
      <c r="H17" s="62">
        <f t="shared" si="3"/>
        <v>57.887000000000008</v>
      </c>
      <c r="I17" s="61">
        <v>1</v>
      </c>
      <c r="J17" s="62">
        <f t="shared" si="4"/>
        <v>57.887000000000008</v>
      </c>
    </row>
    <row r="18" spans="1:12" ht="14.7" hidden="1" customHeight="1" x14ac:dyDescent="0.3">
      <c r="B18" s="61" t="s">
        <v>14</v>
      </c>
      <c r="C18" s="62">
        <f>1265*B31</f>
        <v>1353.5500000000002</v>
      </c>
      <c r="D18" s="62">
        <v>0</v>
      </c>
      <c r="E18" s="61">
        <v>1</v>
      </c>
      <c r="F18" s="62">
        <f t="shared" si="2"/>
        <v>1353.5500000000002</v>
      </c>
      <c r="G18" s="61">
        <v>1</v>
      </c>
      <c r="H18" s="62">
        <f t="shared" si="3"/>
        <v>1353.5500000000002</v>
      </c>
      <c r="I18" s="61">
        <v>1</v>
      </c>
      <c r="J18" s="62">
        <f t="shared" si="4"/>
        <v>1353.5500000000002</v>
      </c>
    </row>
    <row r="19" spans="1:12" x14ac:dyDescent="0.3">
      <c r="B19" s="36" t="s">
        <v>50</v>
      </c>
      <c r="C19" s="57"/>
      <c r="D19" s="58"/>
      <c r="E19" s="129">
        <f>E6+I6+G6+K6</f>
        <v>26165.387999999999</v>
      </c>
      <c r="F19" s="130"/>
      <c r="G19" s="130"/>
      <c r="H19" s="130"/>
      <c r="I19" s="130"/>
      <c r="J19" s="130"/>
      <c r="K19" s="130"/>
      <c r="L19" s="130"/>
    </row>
    <row r="20" spans="1:12" ht="14.7" hidden="1" customHeight="1" x14ac:dyDescent="0.3">
      <c r="B20" s="36" t="s">
        <v>50</v>
      </c>
      <c r="C20" s="62">
        <f>575*B31</f>
        <v>615.25</v>
      </c>
      <c r="D20" s="62">
        <v>0</v>
      </c>
      <c r="E20" s="65">
        <v>1</v>
      </c>
      <c r="F20" s="62">
        <f>(C20*E20)</f>
        <v>615.25</v>
      </c>
      <c r="G20" s="61">
        <v>1</v>
      </c>
      <c r="H20" s="62">
        <f>(G20*C20)</f>
        <v>615.25</v>
      </c>
      <c r="I20" s="61">
        <v>0</v>
      </c>
      <c r="J20" s="62">
        <f>(I20*C20)</f>
        <v>0</v>
      </c>
    </row>
    <row r="21" spans="1:12" ht="14.7" hidden="1" customHeight="1" x14ac:dyDescent="0.3">
      <c r="B21" s="36" t="s">
        <v>50</v>
      </c>
      <c r="C21" s="66">
        <v>150</v>
      </c>
      <c r="D21" s="62">
        <v>0</v>
      </c>
      <c r="E21" s="67">
        <v>2</v>
      </c>
      <c r="F21" s="62">
        <f>(C21*E21)</f>
        <v>300</v>
      </c>
      <c r="G21" s="67">
        <v>2</v>
      </c>
      <c r="H21" s="62">
        <f>(G21*C21)</f>
        <v>300</v>
      </c>
      <c r="I21" s="67">
        <v>3</v>
      </c>
      <c r="J21" s="62">
        <f>(I21*C21)</f>
        <v>450</v>
      </c>
    </row>
    <row r="22" spans="1:12" ht="14.7" hidden="1" customHeight="1" x14ac:dyDescent="0.3">
      <c r="B22" s="36" t="s">
        <v>50</v>
      </c>
      <c r="C22" s="68">
        <v>0.5</v>
      </c>
      <c r="D22" s="62">
        <v>0</v>
      </c>
      <c r="E22" s="61">
        <v>100</v>
      </c>
      <c r="F22" s="62">
        <f>(C22*E22)</f>
        <v>50</v>
      </c>
      <c r="G22" s="61">
        <v>100</v>
      </c>
      <c r="H22" s="62">
        <f>(G22*C22)</f>
        <v>50</v>
      </c>
      <c r="I22" s="61">
        <v>100</v>
      </c>
      <c r="J22" s="62">
        <f>(I22*C22)</f>
        <v>50</v>
      </c>
    </row>
    <row r="23" spans="1:12" ht="14.7" hidden="1" customHeight="1" x14ac:dyDescent="0.3">
      <c r="B23" s="36" t="s">
        <v>50</v>
      </c>
      <c r="C23" s="68">
        <v>100</v>
      </c>
      <c r="D23" s="66"/>
      <c r="E23" s="69">
        <v>5</v>
      </c>
      <c r="F23" s="70">
        <f>(C23*E23)</f>
        <v>500</v>
      </c>
      <c r="G23" s="69">
        <v>5</v>
      </c>
      <c r="H23" s="70">
        <f>(G23*C23)</f>
        <v>500</v>
      </c>
      <c r="I23" s="69">
        <v>5</v>
      </c>
      <c r="J23" s="70">
        <f>(I23*C23)</f>
        <v>500</v>
      </c>
    </row>
    <row r="24" spans="1:12" ht="14.7" customHeight="1" x14ac:dyDescent="0.3">
      <c r="B24" s="36" t="s">
        <v>51</v>
      </c>
      <c r="C24" s="71"/>
      <c r="D24" s="66"/>
      <c r="E24" s="123">
        <f>E19*0.21</f>
        <v>5494.7314799999995</v>
      </c>
      <c r="F24" s="124"/>
      <c r="G24" s="124"/>
      <c r="H24" s="124"/>
      <c r="I24" s="124"/>
      <c r="J24" s="124"/>
      <c r="K24" s="124"/>
      <c r="L24" s="125"/>
    </row>
    <row r="25" spans="1:12" x14ac:dyDescent="0.3">
      <c r="B25" s="36" t="s">
        <v>52</v>
      </c>
      <c r="E25" s="123">
        <f>E19*1.21</f>
        <v>31660.119479999998</v>
      </c>
      <c r="F25" s="124"/>
      <c r="G25" s="124"/>
      <c r="H25" s="124"/>
      <c r="I25" s="124"/>
      <c r="J25" s="124"/>
      <c r="K25" s="124"/>
      <c r="L25" s="125"/>
    </row>
    <row r="26" spans="1:12" x14ac:dyDescent="0.3">
      <c r="B26" s="72" t="s">
        <v>53</v>
      </c>
      <c r="E26" s="126">
        <f>F6+J6+H6</f>
        <v>0</v>
      </c>
      <c r="F26" s="127"/>
      <c r="G26" s="127"/>
      <c r="H26" s="127"/>
      <c r="I26" s="127"/>
      <c r="J26" s="127"/>
      <c r="K26" s="127"/>
      <c r="L26" s="128"/>
    </row>
    <row r="27" spans="1:12" x14ac:dyDescent="0.3">
      <c r="B27" s="75" t="s">
        <v>54</v>
      </c>
      <c r="E27" s="73"/>
      <c r="F27" s="74"/>
      <c r="G27" s="74"/>
      <c r="H27" s="74"/>
      <c r="I27" s="74"/>
      <c r="J27" s="76"/>
      <c r="K27" s="76"/>
      <c r="L27" s="77">
        <f>E26*1.21</f>
        <v>0</v>
      </c>
    </row>
    <row r="31" spans="1:12" hidden="1" x14ac:dyDescent="0.3">
      <c r="A31" s="37" t="s">
        <v>4</v>
      </c>
      <c r="B31" s="37">
        <v>1.07</v>
      </c>
    </row>
    <row r="33" spans="3:9" ht="57.6" x14ac:dyDescent="0.3">
      <c r="C33" s="78" t="s">
        <v>55</v>
      </c>
      <c r="D33" s="78" t="s">
        <v>56</v>
      </c>
      <c r="E33" s="78" t="s">
        <v>55</v>
      </c>
      <c r="F33" s="78" t="s">
        <v>56</v>
      </c>
      <c r="G33" s="78" t="s">
        <v>57</v>
      </c>
      <c r="H33" s="78" t="s">
        <v>58</v>
      </c>
      <c r="I33" s="78" t="s">
        <v>59</v>
      </c>
    </row>
    <row r="34" spans="3:9" x14ac:dyDescent="0.3">
      <c r="C34" s="79" t="e">
        <f>#REF!*#REF!*A34</f>
        <v>#REF!</v>
      </c>
      <c r="D34" s="79" t="e">
        <f>C34*21/100</f>
        <v>#REF!</v>
      </c>
      <c r="E34" s="79">
        <f>E19</f>
        <v>26165.387999999999</v>
      </c>
      <c r="F34" s="79">
        <f>E34*21/100</f>
        <v>5494.7314799999995</v>
      </c>
      <c r="G34" s="79">
        <f>E34+F34</f>
        <v>31660.119479999998</v>
      </c>
      <c r="H34" s="79">
        <f>20*E34/100</f>
        <v>5233.0776000000005</v>
      </c>
      <c r="I34" s="79">
        <f>E34+H34</f>
        <v>31398.4656</v>
      </c>
    </row>
    <row r="38" spans="3:9" x14ac:dyDescent="0.3">
      <c r="E38" s="80" t="s">
        <v>60</v>
      </c>
    </row>
    <row r="39" spans="3:9" x14ac:dyDescent="0.3">
      <c r="E39" s="83">
        <v>2026</v>
      </c>
      <c r="F39" s="81">
        <f>PBL!F29</f>
        <v>5076.3520000000008</v>
      </c>
    </row>
    <row r="40" spans="3:9" x14ac:dyDescent="0.3">
      <c r="E40" s="83">
        <v>2027</v>
      </c>
      <c r="F40" s="81">
        <f>PBL!H29</f>
        <v>7873.4070000000011</v>
      </c>
    </row>
    <row r="41" spans="3:9" x14ac:dyDescent="0.3">
      <c r="E41" s="83">
        <v>2028</v>
      </c>
      <c r="F41" s="81">
        <f>PBL!J29</f>
        <v>8139.277000000001</v>
      </c>
    </row>
    <row r="42" spans="3:9" x14ac:dyDescent="0.3">
      <c r="E42" s="83">
        <v>2029</v>
      </c>
      <c r="F42" s="81">
        <f>PBL!L29</f>
        <v>5076.3520000000008</v>
      </c>
    </row>
    <row r="43" spans="3:9" x14ac:dyDescent="0.3">
      <c r="F43" s="82">
        <f>SUM(F39:F42)</f>
        <v>26165.388000000006</v>
      </c>
    </row>
  </sheetData>
  <mergeCells count="8">
    <mergeCell ref="E25:L25"/>
    <mergeCell ref="E26:L26"/>
    <mergeCell ref="E2:F2"/>
    <mergeCell ref="G2:H2"/>
    <mergeCell ref="I2:J2"/>
    <mergeCell ref="K2:L2"/>
    <mergeCell ref="E19:L19"/>
    <mergeCell ref="E24:L24"/>
  </mergeCells>
  <pageMargins left="0.7" right="0.7" top="0.75" bottom="0.75" header="0.3" footer="0.3"/>
  <pageSetup paperSize="9" scale="6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EF3ED8B3A94E43B7B5C1D947BBF5EB" ma:contentTypeVersion="17" ma:contentTypeDescription="Crea un document nou" ma:contentTypeScope="" ma:versionID="3c3b28b3b28e19d52092e505982015aa">
  <xsd:schema xmlns:xsd="http://www.w3.org/2001/XMLSchema" xmlns:xs="http://www.w3.org/2001/XMLSchema" xmlns:p="http://schemas.microsoft.com/office/2006/metadata/properties" xmlns:ns2="8e3debba-5f5e-4289-83ee-a791351c9d0c" xmlns:ns3="5f7d2660-603a-4123-bd15-99861d0fd9f8" targetNamespace="http://schemas.microsoft.com/office/2006/metadata/properties" ma:root="true" ma:fieldsID="e1cfe6bbbc3ecc6b2ee8cc0f035b0e38" ns2:_="" ns3:_="">
    <xsd:import namespace="8e3debba-5f5e-4289-83ee-a791351c9d0c"/>
    <xsd:import namespace="5f7d2660-603a-4123-bd15-99861d0fd9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3debba-5f5e-4289-83ee-a791351c9d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d2660-603a-4123-bd15-99861d0fd9f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4e3104a-c278-4af0-89f1-ce19b9fc9bab}" ma:internalName="TaxCatchAll" ma:showField="CatchAllData" ma:web="5f7d2660-603a-4123-bd15-99861d0fd9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f7d2660-603a-4123-bd15-99861d0fd9f8" xsi:nil="true"/>
    <lcf76f155ced4ddcb4097134ff3c332f xmlns="8e3debba-5f5e-4289-83ee-a791351c9d0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D4FAD2-834D-4A2C-86E5-723084D4E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3debba-5f5e-4289-83ee-a791351c9d0c"/>
    <ds:schemaRef ds:uri="5f7d2660-603a-4123-bd15-99861d0fd9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B6F373-BCE7-4599-96E3-4A0039EC28DD}">
  <ds:schemaRefs>
    <ds:schemaRef ds:uri="http://schemas.microsoft.com/office/2006/metadata/properties"/>
    <ds:schemaRef ds:uri="http://schemas.microsoft.com/office/infopath/2007/PartnerControls"/>
    <ds:schemaRef ds:uri="5f7d2660-603a-4123-bd15-99861d0fd9f8"/>
    <ds:schemaRef ds:uri="8e3debba-5f5e-4289-83ee-a791351c9d0c"/>
  </ds:schemaRefs>
</ds:datastoreItem>
</file>

<file path=customXml/itemProps3.xml><?xml version="1.0" encoding="utf-8"?>
<ds:datastoreItem xmlns:ds="http://schemas.openxmlformats.org/officeDocument/2006/customXml" ds:itemID="{C9CB2394-59D6-4F25-96A6-D40F562021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Preus</vt:lpstr>
      <vt:lpstr>PBL</vt:lpstr>
      <vt:lpstr>Resum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Serebriakova</dc:creator>
  <cp:lastModifiedBy>Garcia Jimenez, Silvia</cp:lastModifiedBy>
  <cp:lastPrinted>2026-02-23T13:40:59Z</cp:lastPrinted>
  <dcterms:created xsi:type="dcterms:W3CDTF">2015-06-05T18:19:34Z</dcterms:created>
  <dcterms:modified xsi:type="dcterms:W3CDTF">2026-05-06T08:53:20Z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0x010100D6EF3ED8B3A94E43B7B5C1D947BBF5EB</vt:lpwstr>
  </property>
  <property fmtid="{D5CDD505-2E9C-101B-9397-08002B2CF9AE}" pid="3" name="MediaServiceImageTags">
    <vt:lpwstr/>
  </property>
</Properties>
</file>