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onzon\Documents\projecte St Cugat\trabajo\"/>
    </mc:Choice>
  </mc:AlternateContent>
  <xr:revisionPtr revIDLastSave="0" documentId="13_ncr:1_{3079A493-AC5F-4A0A-8604-ADE4DA765F34}" xr6:coauthVersionLast="47" xr6:coauthVersionMax="47" xr10:uidLastSave="{00000000-0000-0000-0000-000000000000}"/>
  <bookViews>
    <workbookView xWindow="-120" yWindow="-120" windowWidth="29040" windowHeight="15720" firstSheet="1" activeTab="3" xr2:uid="{85646F3C-BE49-4186-BF9A-00757C1FC03D}"/>
  </bookViews>
  <sheets>
    <sheet name="Costos Directes i indirectes" sheetId="3" r:id="rId1"/>
    <sheet name="Càlcul cost projecte" sheetId="2" r:id="rId2"/>
    <sheet name="Resum " sheetId="5" r:id="rId3"/>
    <sheet name="Hoja1" sheetId="8" r:id="rId4"/>
  </sheets>
  <definedNames>
    <definedName name="_xlnm.Print_Area" localSheetId="1">'Càlcul cost projecte'!$A$1:$P$112</definedName>
  </definedNames>
  <calcPr calcId="191028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8" l="1"/>
  <c r="J8" i="2"/>
  <c r="A2" i="8"/>
  <c r="A1" i="8"/>
  <c r="K23" i="5"/>
  <c r="J17" i="5"/>
  <c r="F25" i="2"/>
  <c r="E24" i="2"/>
  <c r="D24" i="2"/>
  <c r="E26" i="2"/>
  <c r="J22" i="2"/>
  <c r="J21" i="2"/>
  <c r="C24" i="2"/>
  <c r="F24" i="2" s="1"/>
  <c r="E15" i="5"/>
  <c r="C15" i="5"/>
  <c r="B15" i="5"/>
  <c r="C14" i="5"/>
  <c r="B14" i="5"/>
  <c r="E86" i="2"/>
  <c r="D86" i="2"/>
  <c r="E81" i="2"/>
  <c r="D81" i="2"/>
  <c r="A86" i="2"/>
  <c r="C90" i="2"/>
  <c r="C89" i="2"/>
  <c r="C88" i="2"/>
  <c r="C87" i="2"/>
  <c r="C86" i="2" s="1"/>
  <c r="F86" i="2" s="1"/>
  <c r="C85" i="2"/>
  <c r="C84" i="2"/>
  <c r="C83" i="2"/>
  <c r="C82" i="2"/>
  <c r="C81" i="2" s="1"/>
  <c r="F81" i="2" s="1"/>
  <c r="A81" i="2"/>
  <c r="L19" i="2"/>
  <c r="F15" i="5" s="1"/>
  <c r="K19" i="2"/>
  <c r="I19" i="2"/>
  <c r="H19" i="2"/>
  <c r="L18" i="2"/>
  <c r="F14" i="5" s="1"/>
  <c r="K18" i="2"/>
  <c r="E14" i="5" s="1"/>
  <c r="I18" i="2"/>
  <c r="H18" i="2"/>
  <c r="I22" i="2"/>
  <c r="I21" i="2"/>
  <c r="I20" i="2"/>
  <c r="I17" i="2"/>
  <c r="I16" i="2"/>
  <c r="I15" i="2"/>
  <c r="I14" i="2"/>
  <c r="I13" i="2"/>
  <c r="I12" i="2"/>
  <c r="I11" i="2"/>
  <c r="I10" i="2"/>
  <c r="I9" i="2"/>
  <c r="I8" i="2"/>
  <c r="L21" i="2"/>
  <c r="F17" i="5" s="1"/>
  <c r="L22" i="2"/>
  <c r="F18" i="5" s="1"/>
  <c r="H21" i="2"/>
  <c r="B17" i="5" s="1"/>
  <c r="F100" i="2"/>
  <c r="A2" i="5"/>
  <c r="D26" i="2"/>
  <c r="A26" i="2"/>
  <c r="E91" i="2"/>
  <c r="D91" i="2"/>
  <c r="E76" i="2"/>
  <c r="E71" i="2"/>
  <c r="E66" i="2"/>
  <c r="E61" i="2"/>
  <c r="E56" i="2"/>
  <c r="E51" i="2"/>
  <c r="E46" i="2"/>
  <c r="E41" i="2"/>
  <c r="E36" i="2"/>
  <c r="F36" i="2" s="1"/>
  <c r="E30" i="2"/>
  <c r="D76" i="2"/>
  <c r="D71" i="2"/>
  <c r="D66" i="2"/>
  <c r="D61" i="2"/>
  <c r="D56" i="2"/>
  <c r="D51" i="2"/>
  <c r="D46" i="2"/>
  <c r="D41" i="2"/>
  <c r="C47" i="2"/>
  <c r="D36" i="2"/>
  <c r="D30" i="2"/>
  <c r="C18" i="5"/>
  <c r="H22" i="2"/>
  <c r="B18" i="5" s="1"/>
  <c r="M22" i="2" l="1"/>
  <c r="D18" i="5"/>
  <c r="G18" i="5" s="1"/>
  <c r="M21" i="2"/>
  <c r="D17" i="5"/>
  <c r="G17" i="5"/>
  <c r="C16" i="5"/>
  <c r="C13" i="5"/>
  <c r="F101" i="2"/>
  <c r="F97" i="2" s="1"/>
  <c r="N5" i="3" l="1"/>
  <c r="N6" i="3"/>
  <c r="I7" i="3"/>
  <c r="N7" i="3"/>
  <c r="S5" i="3"/>
  <c r="C50" i="2" s="1"/>
  <c r="I12" i="3"/>
  <c r="N11" i="3"/>
  <c r="I16" i="3"/>
  <c r="I21" i="3" s="1"/>
  <c r="C12" i="5"/>
  <c r="C11" i="5"/>
  <c r="C10" i="5"/>
  <c r="C9" i="5"/>
  <c r="C8" i="5"/>
  <c r="C7" i="5"/>
  <c r="C6" i="5"/>
  <c r="C5" i="5"/>
  <c r="C40" i="2"/>
  <c r="C45" i="2"/>
  <c r="C70" i="2"/>
  <c r="C69" i="2"/>
  <c r="C79" i="2"/>
  <c r="C74" i="2"/>
  <c r="C64" i="2"/>
  <c r="C59" i="2"/>
  <c r="C54" i="2"/>
  <c r="C49" i="2"/>
  <c r="C44" i="2"/>
  <c r="C39" i="2"/>
  <c r="C34" i="2"/>
  <c r="C25" i="2" l="1"/>
  <c r="C94" i="2"/>
  <c r="C95" i="2"/>
  <c r="C80" i="2"/>
  <c r="C75" i="2"/>
  <c r="C35" i="2"/>
  <c r="C65" i="2"/>
  <c r="C60" i="2"/>
  <c r="C55" i="2"/>
  <c r="A36" i="2"/>
  <c r="L17" i="2"/>
  <c r="F13" i="5" s="1"/>
  <c r="K17" i="2"/>
  <c r="E13" i="5" s="1"/>
  <c r="A24" i="2"/>
  <c r="A30" i="2" s="1"/>
  <c r="O24" i="2"/>
  <c r="C27" i="2" l="1"/>
  <c r="F27" i="2" s="1"/>
  <c r="C26" i="2" s="1"/>
  <c r="F26" i="2" s="1"/>
  <c r="F22" i="2" s="1"/>
  <c r="A46" i="2"/>
  <c r="A91" i="2"/>
  <c r="A76" i="2"/>
  <c r="A71" i="2"/>
  <c r="A66" i="2"/>
  <c r="A61" i="2"/>
  <c r="A56" i="2"/>
  <c r="A51" i="2"/>
  <c r="A41" i="2"/>
  <c r="H17" i="2"/>
  <c r="B13" i="5" s="1"/>
  <c r="L15" i="2"/>
  <c r="K15" i="2"/>
  <c r="E11" i="5" s="1"/>
  <c r="H15" i="2"/>
  <c r="L14" i="2"/>
  <c r="K14" i="2"/>
  <c r="E10" i="5" s="1"/>
  <c r="H14" i="2"/>
  <c r="L13" i="2"/>
  <c r="K13" i="2"/>
  <c r="E9" i="5" s="1"/>
  <c r="H13" i="2"/>
  <c r="L12" i="2"/>
  <c r="K12" i="2"/>
  <c r="E8" i="5" s="1"/>
  <c r="H12" i="2"/>
  <c r="L20" i="2"/>
  <c r="F16" i="5" s="1"/>
  <c r="L16" i="2"/>
  <c r="L11" i="2"/>
  <c r="L10" i="2"/>
  <c r="L9" i="2"/>
  <c r="L8" i="2"/>
  <c r="F4" i="5" s="1"/>
  <c r="K20" i="2"/>
  <c r="K16" i="2"/>
  <c r="E12" i="5" s="1"/>
  <c r="K11" i="2"/>
  <c r="E7" i="5" s="1"/>
  <c r="K10" i="2"/>
  <c r="E6" i="5" s="1"/>
  <c r="K9" i="2"/>
  <c r="E5" i="5" s="1"/>
  <c r="K8" i="2"/>
  <c r="C4" i="5"/>
  <c r="H20" i="2"/>
  <c r="B16" i="5" s="1"/>
  <c r="H16" i="2"/>
  <c r="H11" i="2"/>
  <c r="H10" i="2"/>
  <c r="H9" i="2"/>
  <c r="H8" i="2"/>
  <c r="A1" i="5"/>
  <c r="E4" i="5" l="1"/>
  <c r="B4" i="5"/>
  <c r="B5" i="5"/>
  <c r="B6" i="5"/>
  <c r="B7" i="5"/>
  <c r="B12" i="5"/>
  <c r="F5" i="5"/>
  <c r="F6" i="5"/>
  <c r="F7" i="5"/>
  <c r="F12" i="5"/>
  <c r="B8" i="5"/>
  <c r="F8" i="5"/>
  <c r="B9" i="5"/>
  <c r="F9" i="5"/>
  <c r="B10" i="5"/>
  <c r="F10" i="5"/>
  <c r="B11" i="5"/>
  <c r="F11" i="5"/>
  <c r="O21" i="2" l="1"/>
  <c r="O20" i="2"/>
  <c r="O23" i="2"/>
  <c r="O22" i="2"/>
  <c r="O16" i="2"/>
  <c r="O104" i="2" l="1"/>
  <c r="O103" i="2"/>
  <c r="O54" i="2" l="1"/>
  <c r="O11" i="2" l="1"/>
  <c r="O10" i="2"/>
  <c r="O9" i="2"/>
  <c r="C31" i="2"/>
  <c r="B33" i="3"/>
  <c r="D33" i="3" s="1"/>
  <c r="E33" i="3"/>
  <c r="F33" i="3" s="1"/>
  <c r="A34" i="3"/>
  <c r="B34" i="3" s="1"/>
  <c r="D34" i="3" s="1"/>
  <c r="C78" i="2" l="1"/>
  <c r="C73" i="2"/>
  <c r="C68" i="2"/>
  <c r="C63" i="2"/>
  <c r="C43" i="2"/>
  <c r="C58" i="2"/>
  <c r="C53" i="2"/>
  <c r="C48" i="2"/>
  <c r="C46" i="2" s="1"/>
  <c r="C93" i="2"/>
  <c r="C52" i="2"/>
  <c r="C42" i="2"/>
  <c r="C77" i="2"/>
  <c r="C67" i="2"/>
  <c r="C66" i="2" s="1"/>
  <c r="C72" i="2"/>
  <c r="C71" i="2" s="1"/>
  <c r="C62" i="2"/>
  <c r="C61" i="2" s="1"/>
  <c r="C57" i="2"/>
  <c r="C56" i="2" s="1"/>
  <c r="C92" i="2"/>
  <c r="C91" i="2" s="1"/>
  <c r="C38" i="2"/>
  <c r="C33" i="2"/>
  <c r="C37" i="2"/>
  <c r="C32" i="2"/>
  <c r="C30" i="2" s="1"/>
  <c r="E34" i="3"/>
  <c r="F34" i="3" s="1"/>
  <c r="E26" i="3" s="1"/>
  <c r="F26" i="3" s="1"/>
  <c r="C20" i="2" s="1"/>
  <c r="D26" i="3"/>
  <c r="A35" i="3"/>
  <c r="F30" i="2" l="1"/>
  <c r="C51" i="2"/>
  <c r="F56" i="2"/>
  <c r="F71" i="2"/>
  <c r="F66" i="2"/>
  <c r="F61" i="2"/>
  <c r="F51" i="2"/>
  <c r="F46" i="2"/>
  <c r="F91" i="2"/>
  <c r="J20" i="2"/>
  <c r="D16" i="5" s="1"/>
  <c r="G16" i="5" s="1"/>
  <c r="C76" i="2"/>
  <c r="C36" i="2"/>
  <c r="C41" i="2"/>
  <c r="F20" i="2"/>
  <c r="O52" i="2" s="1"/>
  <c r="E35" i="3"/>
  <c r="F35" i="3" s="1"/>
  <c r="E25" i="3" s="1"/>
  <c r="F25" i="3" s="1"/>
  <c r="B35" i="3"/>
  <c r="D35" i="3" s="1"/>
  <c r="A36" i="3"/>
  <c r="D10" i="3" s="1"/>
  <c r="D25" i="3"/>
  <c r="F76" i="2" l="1"/>
  <c r="F28" i="2" s="1"/>
  <c r="F41" i="2"/>
  <c r="D16" i="3"/>
  <c r="O26" i="2"/>
  <c r="A37" i="3"/>
  <c r="D21" i="3" s="1"/>
  <c r="E36" i="3"/>
  <c r="F36" i="3" s="1"/>
  <c r="E9" i="3" s="1"/>
  <c r="F9" i="3" s="1"/>
  <c r="C10" i="2" s="1"/>
  <c r="J10" i="2" s="1"/>
  <c r="D6" i="5" s="1"/>
  <c r="G6" i="5" s="1"/>
  <c r="B36" i="3"/>
  <c r="D36" i="3" s="1"/>
  <c r="D14" i="3"/>
  <c r="D12" i="3"/>
  <c r="D9" i="3"/>
  <c r="D13" i="3"/>
  <c r="E18" i="3"/>
  <c r="F18" i="3" s="1"/>
  <c r="D15" i="3"/>
  <c r="E17" i="3"/>
  <c r="F17" i="3" s="1"/>
  <c r="E23" i="3"/>
  <c r="F23" i="3" s="1"/>
  <c r="C19" i="2" s="1"/>
  <c r="E24" i="3"/>
  <c r="F24" i="3" s="1"/>
  <c r="D24" i="3"/>
  <c r="D11" i="3"/>
  <c r="E14" i="3"/>
  <c r="F14" i="3" s="1"/>
  <c r="C17" i="2" s="1"/>
  <c r="J17" i="2" s="1"/>
  <c r="D13" i="5" s="1"/>
  <c r="G13" i="5" s="1"/>
  <c r="D18" i="3"/>
  <c r="E15" i="3"/>
  <c r="F15" i="3" s="1"/>
  <c r="C16" i="2" s="1"/>
  <c r="D17" i="3"/>
  <c r="E12" i="3"/>
  <c r="F12" i="3" s="1"/>
  <c r="D23" i="3"/>
  <c r="F19" i="2" l="1"/>
  <c r="J19" i="2"/>
  <c r="C14" i="2"/>
  <c r="C15" i="2"/>
  <c r="J16" i="2"/>
  <c r="D12" i="5" s="1"/>
  <c r="G12" i="5" s="1"/>
  <c r="J15" i="2"/>
  <c r="D11" i="5" s="1"/>
  <c r="G11" i="5" s="1"/>
  <c r="J14" i="2"/>
  <c r="D10" i="5" s="1"/>
  <c r="G10" i="5" s="1"/>
  <c r="F10" i="2"/>
  <c r="O49" i="2" s="1"/>
  <c r="F15" i="2"/>
  <c r="F17" i="2"/>
  <c r="M20" i="2"/>
  <c r="E11" i="3"/>
  <c r="F11" i="3" s="1"/>
  <c r="E16" i="3"/>
  <c r="F16" i="3" s="1"/>
  <c r="C13" i="2" s="1"/>
  <c r="E10" i="3"/>
  <c r="F10" i="3" s="1"/>
  <c r="C11" i="2" s="1"/>
  <c r="E13" i="3"/>
  <c r="F13" i="3" s="1"/>
  <c r="C12" i="2" s="1"/>
  <c r="J12" i="2" s="1"/>
  <c r="D8" i="5" s="1"/>
  <c r="G8" i="5" s="1"/>
  <c r="D8" i="3"/>
  <c r="F14" i="2"/>
  <c r="F16" i="2"/>
  <c r="O51" i="2" s="1"/>
  <c r="O25" i="2"/>
  <c r="A38" i="3"/>
  <c r="E37" i="3"/>
  <c r="F37" i="3" s="1"/>
  <c r="B37" i="3"/>
  <c r="D37" i="3" s="1"/>
  <c r="D19" i="3"/>
  <c r="E8" i="3"/>
  <c r="F8" i="3" s="1"/>
  <c r="M19" i="2" l="1"/>
  <c r="D15" i="5"/>
  <c r="G15" i="5" s="1"/>
  <c r="J13" i="2"/>
  <c r="D9" i="5" s="1"/>
  <c r="G9" i="5" s="1"/>
  <c r="J11" i="2"/>
  <c r="D7" i="5" s="1"/>
  <c r="G7" i="5" s="1"/>
  <c r="F12" i="2"/>
  <c r="F11" i="2"/>
  <c r="O50" i="2" s="1"/>
  <c r="F13" i="2"/>
  <c r="M10" i="2"/>
  <c r="M16" i="2"/>
  <c r="M14" i="2"/>
  <c r="M17" i="2"/>
  <c r="M15" i="2"/>
  <c r="B38" i="3"/>
  <c r="D38" i="3" s="1"/>
  <c r="A39" i="3"/>
  <c r="D5" i="3" s="1"/>
  <c r="E38" i="3"/>
  <c r="F38" i="3" s="1"/>
  <c r="E7" i="3" s="1"/>
  <c r="F7" i="3" s="1"/>
  <c r="C9" i="2" s="1"/>
  <c r="J9" i="2" s="1"/>
  <c r="D7" i="3"/>
  <c r="D22" i="3"/>
  <c r="E19" i="3"/>
  <c r="F19" i="3" s="1"/>
  <c r="E21" i="3"/>
  <c r="F21" i="3" s="1"/>
  <c r="D5" i="5" l="1"/>
  <c r="G5" i="5" s="1"/>
  <c r="M13" i="2"/>
  <c r="M12" i="2"/>
  <c r="M11" i="2"/>
  <c r="F9" i="2"/>
  <c r="O48" i="2" s="1"/>
  <c r="E22" i="3"/>
  <c r="F22" i="3" s="1"/>
  <c r="C18" i="2" s="1"/>
  <c r="E5" i="3"/>
  <c r="F5" i="3" s="1"/>
  <c r="D20" i="3"/>
  <c r="E39" i="3"/>
  <c r="F39" i="3" s="1"/>
  <c r="E20" i="3" s="1"/>
  <c r="F20" i="3" s="1"/>
  <c r="A40" i="3"/>
  <c r="B39" i="3"/>
  <c r="D39" i="3" s="1"/>
  <c r="F18" i="2" l="1"/>
  <c r="J18" i="2"/>
  <c r="M9" i="2"/>
  <c r="E40" i="3"/>
  <c r="F40" i="3" s="1"/>
  <c r="B40" i="3"/>
  <c r="D40" i="3" s="1"/>
  <c r="A41" i="3"/>
  <c r="D6" i="3"/>
  <c r="M18" i="2" l="1"/>
  <c r="D14" i="5"/>
  <c r="G14" i="5" s="1"/>
  <c r="B41" i="3"/>
  <c r="D41" i="3" s="1"/>
  <c r="A42" i="3"/>
  <c r="E41" i="3"/>
  <c r="F41" i="3" s="1"/>
  <c r="E4" i="3"/>
  <c r="F4" i="3" s="1"/>
  <c r="A43" i="3" l="1"/>
  <c r="B42" i="3"/>
  <c r="D42" i="3" s="1"/>
  <c r="E42" i="3"/>
  <c r="F42" i="3" s="1"/>
  <c r="B43" i="3" l="1"/>
  <c r="D43" i="3" s="1"/>
  <c r="E43" i="3"/>
  <c r="F43" i="3" s="1"/>
  <c r="A44" i="3"/>
  <c r="E44" i="3" l="1"/>
  <c r="F44" i="3" s="1"/>
  <c r="A45" i="3"/>
  <c r="B44" i="3"/>
  <c r="D44" i="3" s="1"/>
  <c r="A46" i="3" l="1"/>
  <c r="B45" i="3"/>
  <c r="D45" i="3" s="1"/>
  <c r="E45" i="3"/>
  <c r="F45" i="3" s="1"/>
  <c r="B46" i="3" l="1"/>
  <c r="D46" i="3" s="1"/>
  <c r="A47" i="3"/>
  <c r="E46" i="3"/>
  <c r="F46" i="3" s="1"/>
  <c r="E47" i="3" l="1"/>
  <c r="F47" i="3" s="1"/>
  <c r="A48" i="3"/>
  <c r="B47" i="3"/>
  <c r="D47" i="3" s="1"/>
  <c r="B48" i="3" l="1"/>
  <c r="D48" i="3" s="1"/>
  <c r="E48" i="3"/>
  <c r="F48" i="3" s="1"/>
  <c r="A49" i="3"/>
  <c r="B49" i="3" l="1"/>
  <c r="D49" i="3" s="1"/>
  <c r="E49" i="3"/>
  <c r="F49" i="3" s="1"/>
  <c r="D4" i="3" l="1"/>
  <c r="E6" i="3"/>
  <c r="F6" i="3" s="1"/>
  <c r="E3" i="3"/>
  <c r="F3" i="3" s="1"/>
  <c r="C8" i="2" s="1"/>
  <c r="D3" i="3"/>
  <c r="F8" i="2" l="1"/>
  <c r="O8" i="2"/>
  <c r="O5" i="2" s="1"/>
  <c r="O4" i="2" s="1"/>
  <c r="F6" i="2" l="1"/>
  <c r="F5" i="2"/>
  <c r="I107" i="2" s="1"/>
  <c r="O47" i="2"/>
  <c r="O44" i="2" s="1"/>
  <c r="D4" i="5"/>
  <c r="G4" i="5" s="1"/>
  <c r="M8" i="2"/>
  <c r="M6" i="2" s="1"/>
  <c r="O102" i="2"/>
  <c r="O93" i="2" s="1"/>
  <c r="O92" i="2" s="1"/>
  <c r="O119" i="2" l="1"/>
  <c r="G19" i="5" l="1"/>
  <c r="G21" i="5" s="1"/>
  <c r="I108" i="2"/>
  <c r="D28" i="5" l="1"/>
  <c r="D29" i="5"/>
  <c r="I20" i="5"/>
  <c r="I19" i="5"/>
  <c r="I21" i="5"/>
  <c r="G22" i="5"/>
  <c r="G23" i="5" s="1"/>
  <c r="I22" i="5" l="1"/>
  <c r="I23" i="5" s="1"/>
  <c r="F21" i="2"/>
  <c r="J107" i="2" s="1"/>
  <c r="O53" i="2" l="1"/>
  <c r="F4" i="2"/>
  <c r="F103" i="2" s="1"/>
  <c r="F108" i="2" l="1"/>
  <c r="I109" i="2" s="1"/>
  <c r="K107" i="2"/>
  <c r="K108" i="2" s="1"/>
  <c r="J108" i="2"/>
  <c r="O120" i="2"/>
  <c r="O43" i="2"/>
  <c r="O117" i="2" s="1"/>
  <c r="J109" i="2" l="1"/>
  <c r="D30" i="5"/>
  <c r="P120" i="2"/>
  <c r="O123" i="2"/>
  <c r="P119" i="2"/>
  <c r="F110" i="2"/>
  <c r="F111" i="2" s="1"/>
  <c r="O125" i="2" l="1"/>
  <c r="O12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tc={C32DC93C-E898-4178-9B3E-01EE529DA8D3}</author>
  </authors>
  <commentList>
    <comment ref="C2" authorId="0" shapeId="0" xr:uid="{C32DC93C-E898-4178-9B3E-01EE529DA8D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Indicar un sou brut de la taula Càlcul cost empresa</t>
      </text>
    </comment>
  </commentList>
</comments>
</file>

<file path=xl/sharedStrings.xml><?xml version="1.0" encoding="utf-8"?>
<sst xmlns="http://schemas.openxmlformats.org/spreadsheetml/2006/main" count="391" uniqueCount="138">
  <si>
    <t>COST DIRECTE</t>
  </si>
  <si>
    <t>COST INDIRECTE</t>
  </si>
  <si>
    <t>Personal servei</t>
  </si>
  <si>
    <t>Experiència</t>
  </si>
  <si>
    <t>Sou brut anual</t>
  </si>
  <si>
    <t>Sou net
mensual</t>
  </si>
  <si>
    <t>Cost empresa mensual</t>
  </si>
  <si>
    <t>PROPOSTA Cost empresa mensual</t>
  </si>
  <si>
    <t>Autor de projecte (20)</t>
  </si>
  <si>
    <t>20 anys</t>
  </si>
  <si>
    <t>VISITA ÀMBIT PROJECTE</t>
  </si>
  <si>
    <t>EQUIPS INFORMÀTICS</t>
  </si>
  <si>
    <t>OFICINA D'OBRA</t>
  </si>
  <si>
    <t>Autor de projecte (15)</t>
  </si>
  <si>
    <t>15 anys</t>
  </si>
  <si>
    <t>Concepte</t>
  </si>
  <si>
    <t>Cost total</t>
  </si>
  <si>
    <t>Vida útil (anys)</t>
  </si>
  <si>
    <t>Cost mensual</t>
  </si>
  <si>
    <t>Autor de projecte (10 anys)</t>
  </si>
  <si>
    <t>10 anys</t>
  </si>
  <si>
    <t>Renting</t>
  </si>
  <si>
    <t>Impresora</t>
  </si>
  <si>
    <t>Mobiliari</t>
  </si>
  <si>
    <t>Adjunt autor de projecte (15)</t>
  </si>
  <si>
    <t>Cost vehicle (€/mes)</t>
  </si>
  <si>
    <t>Ordinador</t>
  </si>
  <si>
    <t>Adjunt autor de projecte (10)</t>
  </si>
  <si>
    <t>Cost vehicle (€/visita)</t>
  </si>
  <si>
    <t>Telèfon</t>
  </si>
  <si>
    <t>Adjunt autor de projecte (5)</t>
  </si>
  <si>
    <t>5 anys</t>
  </si>
  <si>
    <t>Tècnic geotècnia</t>
  </si>
  <si>
    <t>-</t>
  </si>
  <si>
    <t>Benzina i peatges</t>
  </si>
  <si>
    <t>SOFTWARE</t>
  </si>
  <si>
    <t>Tècnic càlculs hidràulics</t>
  </si>
  <si>
    <t>MUNICIPI</t>
  </si>
  <si>
    <t>SANTA MARIA DE MARTORELLES</t>
  </si>
  <si>
    <t>Cost anual</t>
  </si>
  <si>
    <t>Tècnic estudis inundabilitat</t>
  </si>
  <si>
    <t>PEATGES DESDE FONTSANTA</t>
  </si>
  <si>
    <t>Llicències</t>
  </si>
  <si>
    <t>Tècnic procés</t>
  </si>
  <si>
    <t>COST PEATGES (€/MES)</t>
  </si>
  <si>
    <t>Tècnic calculs estructurals</t>
  </si>
  <si>
    <t>QUILÒMETRES DESDE FONTSANTA (KM)</t>
  </si>
  <si>
    <t>Tècnic equips electromecànics</t>
  </si>
  <si>
    <t>PREU BENZINA (€/l)</t>
  </si>
  <si>
    <t>Tècnic equips i instal·lacions elèctriques</t>
  </si>
  <si>
    <t>CONSUM VEHICLE (l/100 KM)</t>
  </si>
  <si>
    <t>Tècnic automatització i telecontrol</t>
  </si>
  <si>
    <t>COST BENZINA (€/VISITA)</t>
  </si>
  <si>
    <t>Tècnic medi ambient</t>
  </si>
  <si>
    <t>Tècnic de seguretat i salut</t>
  </si>
  <si>
    <t>DIETES</t>
  </si>
  <si>
    <t>Director ambiental (10)</t>
  </si>
  <si>
    <t>Dieta diària (€/dia)</t>
  </si>
  <si>
    <t>Coordinador de SiS i ambiental (10)</t>
  </si>
  <si>
    <t>Coordinador de SiS i ambiental (5)</t>
  </si>
  <si>
    <t>COST VISITA</t>
  </si>
  <si>
    <t>BIM Manager</t>
  </si>
  <si>
    <t>Modelador BIM</t>
  </si>
  <si>
    <t>Equip topografia</t>
  </si>
  <si>
    <t>Vigilant d'obra (5)</t>
  </si>
  <si>
    <t>Delineant projectista</t>
  </si>
  <si>
    <t>*Altres tècnics d'altres disciplines de la mateixa categoria professional es valoraran d'acord a l'experiència i a l'especialitat.</t>
  </si>
  <si>
    <t>**Dietes i desplaçaments, segons s'indiqui en el document de proposta de contractació, es consideraran incloses dins del preu ofertat.</t>
  </si>
  <si>
    <t>Càlcul cost empresa</t>
  </si>
  <si>
    <t>Sou brut mensual</t>
  </si>
  <si>
    <t>Sou net mensual</t>
  </si>
  <si>
    <t>IRPF</t>
  </si>
  <si>
    <t>Cost empresa anual</t>
  </si>
  <si>
    <t>Cost empresa mensual (COST DIRECTE)</t>
  </si>
  <si>
    <t>EQUIP DE REDACCIÓ DE PROJECTE- PRESSUPOST DE LICITACIÓ</t>
  </si>
  <si>
    <t>FASE DE REDACCIÓ DEL PROJECTE</t>
  </si>
  <si>
    <t>DESPESES DIRECTES</t>
  </si>
  <si>
    <t>DESPESES DIRECTES, INDIRECTES, BENEFICI I DESPESES GENERALS</t>
  </si>
  <si>
    <t>(A) Mitjans personals</t>
  </si>
  <si>
    <t>(A) Mitjans personals i auxiliars</t>
  </si>
  <si>
    <t>Unitat</t>
  </si>
  <si>
    <t>Preu unitari
(€/ut.)</t>
  </si>
  <si>
    <t>Dedicació  (%)</t>
  </si>
  <si>
    <t>Amidament</t>
  </si>
  <si>
    <t>Import (€)</t>
  </si>
  <si>
    <t>mes</t>
  </si>
  <si>
    <t>DESPESES INDIRECTES</t>
  </si>
  <si>
    <t>(B) Visites</t>
  </si>
  <si>
    <t>Preu unitari (€/ut.)</t>
  </si>
  <si>
    <t>Import visita</t>
  </si>
  <si>
    <t>ut</t>
  </si>
  <si>
    <t>(c) Equips informàtics i mobiliari</t>
  </si>
  <si>
    <t>Software</t>
  </si>
  <si>
    <t>ALTRES TREBALLS</t>
  </si>
  <si>
    <t>Preu unitari</t>
  </si>
  <si>
    <t>(€/ut.)</t>
  </si>
  <si>
    <t>Campanya topografia/Georadar (jornades camp i oficina)</t>
  </si>
  <si>
    <t>Jornada</t>
  </si>
  <si>
    <t>Campanya Geotècnia COMPLETA (cales + 4 sondejos + informe)</t>
  </si>
  <si>
    <t>PA</t>
  </si>
  <si>
    <t>COST DIRECTE MÉS INDIRECTE</t>
  </si>
  <si>
    <t xml:space="preserve">BENEFICI </t>
  </si>
  <si>
    <t>DESPESES GENERALS</t>
  </si>
  <si>
    <t>DIRECTES</t>
  </si>
  <si>
    <t>INDIRECTES</t>
  </si>
  <si>
    <t>TOTAL</t>
  </si>
  <si>
    <t>COST TOTAL</t>
  </si>
  <si>
    <t>IVA</t>
  </si>
  <si>
    <t>COST TOTAL DO I CSIS AMB IVA</t>
  </si>
  <si>
    <t>(A) Mitjans personals i mitjans auxiliars</t>
  </si>
  <si>
    <t>Dedicació 
(%)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</si>
  <si>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</si>
  <si>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</si>
  <si>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</si>
  <si>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</si>
  <si>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</si>
  <si>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</si>
  <si>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</si>
  <si>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</si>
  <si>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</si>
  <si>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</si>
  <si>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</si>
  <si>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</si>
  <si>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</si>
  <si>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</si>
  <si>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</si>
  <si>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Total (A)</t>
  </si>
  <si>
    <t>Total serveis PROJECTE</t>
  </si>
  <si>
    <t>Total=(A)+(B)</t>
  </si>
  <si>
    <t>(*) La partida P15 no es pot modificar a la baixa.</t>
  </si>
  <si>
    <t>Total amb IVA</t>
  </si>
  <si>
    <t>%</t>
  </si>
  <si>
    <t>IMPORT</t>
  </si>
  <si>
    <t>COSTOS DIRECTES</t>
  </si>
  <si>
    <t>COSTOS INDIRECTES</t>
  </si>
  <si>
    <t>COSTOS TOTALS</t>
  </si>
  <si>
    <t>RENOVACIÓ DE L'ABASTAMENT A SANT CUGAT DEL VALLÈS</t>
  </si>
  <si>
    <t>Tècnic càlculs estructurals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</si>
</sst>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1F4E78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8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0" borderId="0" xfId="0" applyAlignment="1">
      <alignment wrapText="1"/>
    </xf>
    <xf numFmtId="4" fontId="0" fillId="0" borderId="1" xfId="0" applyNumberFormat="1" applyBorder="1"/>
    <xf numFmtId="10" fontId="0" fillId="0" borderId="1" xfId="0" applyNumberFormat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6" borderId="2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4" fontId="1" fillId="7" borderId="1" xfId="0" applyNumberFormat="1" applyFont="1" applyFill="1" applyBorder="1"/>
    <xf numFmtId="164" fontId="0" fillId="2" borderId="1" xfId="0" applyNumberFormat="1" applyFill="1" applyBorder="1" applyAlignment="1">
      <alignment horizontal="center" vertical="center"/>
    </xf>
    <xf numFmtId="4" fontId="0" fillId="7" borderId="1" xfId="0" applyNumberFormat="1" applyFill="1" applyBorder="1"/>
    <xf numFmtId="4" fontId="0" fillId="9" borderId="1" xfId="0" applyNumberFormat="1" applyFill="1" applyBorder="1"/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3" borderId="9" xfId="0" applyFill="1" applyBorder="1" applyAlignment="1">
      <alignment horizontal="center" wrapText="1"/>
    </xf>
    <xf numFmtId="0" fontId="0" fillId="0" borderId="8" xfId="0" applyBorder="1" applyAlignment="1">
      <alignment wrapText="1"/>
    </xf>
    <xf numFmtId="164" fontId="0" fillId="2" borderId="9" xfId="0" applyNumberFormat="1" applyFill="1" applyBorder="1" applyAlignment="1">
      <alignment horizontal="center" wrapText="1"/>
    </xf>
    <xf numFmtId="0" fontId="2" fillId="0" borderId="8" xfId="0" applyFont="1" applyBorder="1"/>
    <xf numFmtId="0" fontId="2" fillId="2" borderId="9" xfId="0" applyFont="1" applyFill="1" applyBorder="1" applyAlignment="1">
      <alignment horizontal="center"/>
    </xf>
    <xf numFmtId="164" fontId="1" fillId="0" borderId="0" xfId="0" applyNumberFormat="1" applyFont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16" xfId="0" applyBorder="1" applyAlignment="1">
      <alignment wrapText="1"/>
    </xf>
    <xf numFmtId="164" fontId="0" fillId="2" borderId="5" xfId="0" applyNumberForma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64" fontId="0" fillId="0" borderId="9" xfId="0" applyNumberFormat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10" xfId="0" applyBorder="1" applyAlignment="1">
      <alignment wrapText="1"/>
    </xf>
    <xf numFmtId="164" fontId="0" fillId="2" borderId="11" xfId="0" applyNumberFormat="1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164" fontId="0" fillId="0" borderId="15" xfId="0" applyNumberFormat="1" applyBorder="1" applyAlignment="1">
      <alignment horizontal="center" wrapText="1"/>
    </xf>
    <xf numFmtId="164" fontId="0" fillId="0" borderId="0" xfId="0" applyNumberFormat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164" fontId="0" fillId="8" borderId="9" xfId="0" applyNumberFormat="1" applyFill="1" applyBorder="1" applyAlignment="1">
      <alignment horizontal="center" wrapText="1"/>
    </xf>
    <xf numFmtId="0" fontId="2" fillId="3" borderId="8" xfId="0" applyFont="1" applyFill="1" applyBorder="1"/>
    <xf numFmtId="4" fontId="0" fillId="2" borderId="9" xfId="0" applyNumberFormat="1" applyFill="1" applyBorder="1" applyAlignment="1">
      <alignment horizontal="center" wrapText="1"/>
    </xf>
    <xf numFmtId="164" fontId="1" fillId="9" borderId="9" xfId="0" applyNumberFormat="1" applyFont="1" applyFill="1" applyBorder="1" applyAlignment="1">
      <alignment horizontal="center" wrapText="1"/>
    </xf>
    <xf numFmtId="164" fontId="2" fillId="0" borderId="0" xfId="0" applyNumberFormat="1" applyFont="1" applyAlignment="1">
      <alignment vertical="center"/>
    </xf>
    <xf numFmtId="0" fontId="3" fillId="6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4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164" fontId="6" fillId="13" borderId="14" xfId="0" applyNumberFormat="1" applyFont="1" applyFill="1" applyBorder="1" applyAlignment="1">
      <alignment horizontal="center" vertical="center"/>
    </xf>
    <xf numFmtId="164" fontId="9" fillId="12" borderId="7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7" fillId="15" borderId="1" xfId="0" applyNumberFormat="1" applyFont="1" applyFill="1" applyBorder="1" applyAlignment="1">
      <alignment vertical="center"/>
    </xf>
    <xf numFmtId="9" fontId="7" fillId="15" borderId="1" xfId="0" applyNumberFormat="1" applyFont="1" applyFill="1" applyBorder="1" applyAlignment="1">
      <alignment vertical="center"/>
    </xf>
    <xf numFmtId="0" fontId="7" fillId="15" borderId="1" xfId="0" applyFont="1" applyFill="1" applyBorder="1" applyAlignment="1">
      <alignment horizontal="right" vertical="center"/>
    </xf>
    <xf numFmtId="10" fontId="5" fillId="14" borderId="23" xfId="0" applyNumberFormat="1" applyFont="1" applyFill="1" applyBorder="1" applyAlignment="1">
      <alignment vertical="center"/>
    </xf>
    <xf numFmtId="10" fontId="5" fillId="14" borderId="24" xfId="0" applyNumberFormat="1" applyFont="1" applyFill="1" applyBorder="1" applyAlignment="1">
      <alignment vertical="center"/>
    </xf>
    <xf numFmtId="164" fontId="9" fillId="12" borderId="27" xfId="0" applyNumberFormat="1" applyFont="1" applyFill="1" applyBorder="1" applyAlignment="1">
      <alignment horizontal="center" vertical="center"/>
    </xf>
    <xf numFmtId="164" fontId="6" fillId="13" borderId="18" xfId="0" applyNumberFormat="1" applyFont="1" applyFill="1" applyBorder="1" applyAlignment="1">
      <alignment horizontal="center" vertical="center"/>
    </xf>
    <xf numFmtId="164" fontId="6" fillId="12" borderId="27" xfId="0" applyNumberFormat="1" applyFont="1" applyFill="1" applyBorder="1" applyAlignment="1">
      <alignment horizontal="center" vertical="center"/>
    </xf>
    <xf numFmtId="164" fontId="6" fillId="12" borderId="18" xfId="0" applyNumberFormat="1" applyFont="1" applyFill="1" applyBorder="1" applyAlignment="1">
      <alignment horizontal="center" vertical="center"/>
    </xf>
    <xf numFmtId="164" fontId="6" fillId="13" borderId="23" xfId="0" applyNumberFormat="1" applyFont="1" applyFill="1" applyBorder="1" applyAlignment="1">
      <alignment horizontal="center" vertical="center"/>
    </xf>
    <xf numFmtId="164" fontId="6" fillId="13" borderId="24" xfId="0" applyNumberFormat="1" applyFont="1" applyFill="1" applyBorder="1" applyAlignment="1">
      <alignment horizontal="center" vertical="center"/>
    </xf>
    <xf numFmtId="164" fontId="6" fillId="13" borderId="28" xfId="0" applyNumberFormat="1" applyFont="1" applyFill="1" applyBorder="1" applyAlignment="1">
      <alignment horizontal="center" vertical="center"/>
    </xf>
    <xf numFmtId="0" fontId="2" fillId="8" borderId="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164" fontId="10" fillId="18" borderId="25" xfId="0" applyNumberFormat="1" applyFont="1" applyFill="1" applyBorder="1" applyAlignment="1">
      <alignment horizontal="center" vertical="center"/>
    </xf>
    <xf numFmtId="164" fontId="12" fillId="16" borderId="25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3" fillId="3" borderId="16" xfId="0" applyFont="1" applyFill="1" applyBorder="1" applyAlignment="1">
      <alignment vertical="center"/>
    </xf>
    <xf numFmtId="164" fontId="3" fillId="3" borderId="9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19" borderId="1" xfId="0" applyNumberFormat="1" applyFont="1" applyFill="1" applyBorder="1" applyAlignment="1">
      <alignment horizontal="center" vertical="center"/>
    </xf>
    <xf numFmtId="4" fontId="3" fillId="17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29" xfId="0" applyBorder="1" applyAlignment="1">
      <alignment wrapText="1"/>
    </xf>
    <xf numFmtId="164" fontId="0" fillId="8" borderId="37" xfId="0" applyNumberFormat="1" applyFill="1" applyBorder="1" applyAlignment="1">
      <alignment horizontal="center" wrapText="1"/>
    </xf>
    <xf numFmtId="0" fontId="0" fillId="3" borderId="10" xfId="0" applyFill="1" applyBorder="1" applyAlignment="1">
      <alignment wrapText="1"/>
    </xf>
    <xf numFmtId="0" fontId="0" fillId="2" borderId="15" xfId="0" applyFill="1" applyBorder="1" applyAlignment="1">
      <alignment horizontal="center" wrapText="1"/>
    </xf>
    <xf numFmtId="0" fontId="0" fillId="0" borderId="38" xfId="0" applyBorder="1" applyAlignment="1">
      <alignment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2" borderId="11" xfId="0" applyFill="1" applyBorder="1" applyAlignment="1">
      <alignment wrapText="1"/>
    </xf>
    <xf numFmtId="0" fontId="16" fillId="17" borderId="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4" fontId="2" fillId="0" borderId="37" xfId="0" applyNumberFormat="1" applyFont="1" applyBorder="1" applyAlignment="1">
      <alignment horizontal="center" vertical="center"/>
    </xf>
    <xf numFmtId="0" fontId="3" fillId="3" borderId="45" xfId="0" applyFont="1" applyFill="1" applyBorder="1"/>
    <xf numFmtId="164" fontId="1" fillId="9" borderId="46" xfId="0" applyNumberFormat="1" applyFont="1" applyFill="1" applyBorder="1" applyAlignment="1">
      <alignment horizontal="center" wrapText="1"/>
    </xf>
    <xf numFmtId="0" fontId="2" fillId="8" borderId="10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9" fontId="7" fillId="2" borderId="33" xfId="0" applyNumberFormat="1" applyFont="1" applyFill="1" applyBorder="1" applyAlignment="1">
      <alignment horizontal="center" vertical="center"/>
    </xf>
    <xf numFmtId="4" fontId="2" fillId="9" borderId="1" xfId="0" applyNumberFormat="1" applyFont="1" applyFill="1" applyBorder="1" applyAlignment="1">
      <alignment horizontal="center" vertical="center"/>
    </xf>
    <xf numFmtId="4" fontId="2" fillId="9" borderId="35" xfId="0" applyNumberFormat="1" applyFont="1" applyFill="1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20" fillId="22" borderId="1" xfId="0" applyFont="1" applyFill="1" applyBorder="1" applyAlignment="1">
      <alignment horizontal="center" vertical="center"/>
    </xf>
    <xf numFmtId="8" fontId="18" fillId="0" borderId="1" xfId="0" applyNumberFormat="1" applyFont="1" applyBorder="1" applyAlignment="1">
      <alignment horizontal="right" vertical="center"/>
    </xf>
    <xf numFmtId="8" fontId="18" fillId="20" borderId="1" xfId="0" applyNumberFormat="1" applyFont="1" applyFill="1" applyBorder="1" applyAlignment="1">
      <alignment horizontal="right" vertical="center"/>
    </xf>
    <xf numFmtId="8" fontId="18" fillId="23" borderId="1" xfId="0" applyNumberFormat="1" applyFont="1" applyFill="1" applyBorder="1" applyAlignment="1">
      <alignment horizontal="right" vertical="center"/>
    </xf>
    <xf numFmtId="8" fontId="20" fillId="22" borderId="1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vertical="center"/>
    </xf>
    <xf numFmtId="10" fontId="22" fillId="21" borderId="1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 wrapText="1"/>
    </xf>
    <xf numFmtId="8" fontId="23" fillId="24" borderId="47" xfId="0" applyNumberFormat="1" applyFont="1" applyFill="1" applyBorder="1" applyAlignment="1">
      <alignment horizontal="center" vertical="center"/>
    </xf>
    <xf numFmtId="0" fontId="24" fillId="26" borderId="35" xfId="0" applyFont="1" applyFill="1" applyBorder="1" applyAlignment="1">
      <alignment horizontal="center" vertical="center" wrapText="1"/>
    </xf>
    <xf numFmtId="0" fontId="24" fillId="26" borderId="5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" fontId="21" fillId="27" borderId="1" xfId="0" applyNumberFormat="1" applyFont="1" applyFill="1" applyBorder="1" applyAlignment="1">
      <alignment horizontal="center" vertical="center"/>
    </xf>
    <xf numFmtId="0" fontId="21" fillId="27" borderId="1" xfId="0" applyFont="1" applyFill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0" fontId="21" fillId="28" borderId="1" xfId="0" applyFont="1" applyFill="1" applyBorder="1" applyAlignment="1">
      <alignment vertical="center" wrapText="1"/>
    </xf>
    <xf numFmtId="164" fontId="12" fillId="12" borderId="25" xfId="0" applyNumberFormat="1" applyFont="1" applyFill="1" applyBorder="1" applyAlignment="1">
      <alignment horizontal="center" vertical="center"/>
    </xf>
    <xf numFmtId="164" fontId="1" fillId="29" borderId="9" xfId="0" applyNumberFormat="1" applyFont="1" applyFill="1" applyBorder="1" applyAlignment="1">
      <alignment horizontal="center" vertical="center"/>
    </xf>
    <xf numFmtId="0" fontId="2" fillId="29" borderId="8" xfId="0" applyFont="1" applyFill="1" applyBorder="1" applyAlignment="1">
      <alignment vertical="center" wrapText="1"/>
    </xf>
    <xf numFmtId="0" fontId="2" fillId="29" borderId="1" xfId="0" applyFont="1" applyFill="1" applyBorder="1" applyAlignment="1">
      <alignment horizontal="center" vertical="center"/>
    </xf>
    <xf numFmtId="4" fontId="2" fillId="29" borderId="1" xfId="0" applyNumberFormat="1" applyFont="1" applyFill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25" fillId="21" borderId="1" xfId="0" applyFont="1" applyFill="1" applyBorder="1" applyAlignment="1">
      <alignment horizontal="center" vertical="center"/>
    </xf>
    <xf numFmtId="10" fontId="25" fillId="0" borderId="1" xfId="0" applyNumberFormat="1" applyFont="1" applyBorder="1" applyAlignment="1">
      <alignment horizontal="center" vertical="center"/>
    </xf>
    <xf numFmtId="8" fontId="24" fillId="21" borderId="1" xfId="0" applyNumberFormat="1" applyFont="1" applyFill="1" applyBorder="1" applyAlignment="1">
      <alignment horizontal="center" vertical="center"/>
    </xf>
    <xf numFmtId="0" fontId="26" fillId="22" borderId="1" xfId="0" applyFont="1" applyFill="1" applyBorder="1" applyAlignment="1">
      <alignment horizontal="center" vertical="center"/>
    </xf>
    <xf numFmtId="8" fontId="27" fillId="22" borderId="1" xfId="0" applyNumberFormat="1" applyFont="1" applyFill="1" applyBorder="1" applyAlignment="1">
      <alignment horizontal="center" vertical="center"/>
    </xf>
    <xf numFmtId="0" fontId="18" fillId="20" borderId="1" xfId="0" applyFont="1" applyFill="1" applyBorder="1" applyAlignment="1">
      <alignment horizontal="left" vertical="center"/>
    </xf>
    <xf numFmtId="0" fontId="3" fillId="6" borderId="49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/>
    </xf>
    <xf numFmtId="4" fontId="2" fillId="11" borderId="49" xfId="0" applyNumberFormat="1" applyFont="1" applyFill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164" fontId="3" fillId="3" borderId="52" xfId="0" applyNumberFormat="1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vertical="center"/>
    </xf>
    <xf numFmtId="0" fontId="3" fillId="6" borderId="54" xfId="0" applyFont="1" applyFill="1" applyBorder="1" applyAlignment="1">
      <alignment horizontal="center" vertical="center"/>
    </xf>
    <xf numFmtId="0" fontId="2" fillId="0" borderId="53" xfId="0" applyFont="1" applyBorder="1" applyAlignment="1">
      <alignment vertical="center" wrapText="1"/>
    </xf>
    <xf numFmtId="4" fontId="2" fillId="0" borderId="54" xfId="0" applyNumberFormat="1" applyFont="1" applyBorder="1" applyAlignment="1">
      <alignment horizontal="center" vertical="center"/>
    </xf>
    <xf numFmtId="4" fontId="21" fillId="0" borderId="54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vertical="center" wrapText="1"/>
    </xf>
    <xf numFmtId="0" fontId="21" fillId="0" borderId="56" xfId="0" applyFont="1" applyBorder="1" applyAlignment="1">
      <alignment horizontal="center" vertical="center"/>
    </xf>
    <xf numFmtId="4" fontId="2" fillId="11" borderId="56" xfId="0" applyNumberFormat="1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4" fontId="21" fillId="0" borderId="57" xfId="0" applyNumberFormat="1" applyFont="1" applyBorder="1" applyAlignment="1">
      <alignment horizontal="center" vertical="center"/>
    </xf>
    <xf numFmtId="2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left" vertical="center"/>
    </xf>
    <xf numFmtId="0" fontId="3" fillId="17" borderId="1" xfId="0" applyFont="1" applyFill="1" applyBorder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3" fillId="10" borderId="31" xfId="0" applyFont="1" applyFill="1" applyBorder="1" applyAlignment="1">
      <alignment horizontal="center" vertical="center"/>
    </xf>
    <xf numFmtId="0" fontId="3" fillId="10" borderId="33" xfId="0" applyFont="1" applyFill="1" applyBorder="1" applyAlignment="1">
      <alignment horizontal="center" vertical="center"/>
    </xf>
    <xf numFmtId="0" fontId="15" fillId="17" borderId="2" xfId="0" applyFont="1" applyFill="1" applyBorder="1" applyAlignment="1">
      <alignment horizontal="left" vertical="center"/>
    </xf>
    <xf numFmtId="0" fontId="15" fillId="17" borderId="31" xfId="0" applyFont="1" applyFill="1" applyBorder="1" applyAlignment="1">
      <alignment horizontal="left" vertical="center"/>
    </xf>
    <xf numFmtId="0" fontId="15" fillId="17" borderId="33" xfId="0" applyFont="1" applyFill="1" applyBorder="1" applyAlignment="1">
      <alignment horizontal="left" vertical="center"/>
    </xf>
    <xf numFmtId="0" fontId="3" fillId="17" borderId="2" xfId="0" applyFont="1" applyFill="1" applyBorder="1" applyAlignment="1">
      <alignment horizontal="right" vertical="center"/>
    </xf>
    <xf numFmtId="0" fontId="3" fillId="17" borderId="33" xfId="0" applyFont="1" applyFill="1" applyBorder="1" applyAlignment="1">
      <alignment horizontal="right" vertical="center"/>
    </xf>
    <xf numFmtId="0" fontId="15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right" vertical="center"/>
    </xf>
    <xf numFmtId="0" fontId="1" fillId="6" borderId="12" xfId="0" applyFont="1" applyFill="1" applyBorder="1" applyAlignment="1">
      <alignment horizontal="center" wrapText="1"/>
    </xf>
    <xf numFmtId="0" fontId="1" fillId="6" borderId="13" xfId="0" applyFont="1" applyFill="1" applyBorder="1" applyAlignment="1">
      <alignment horizontal="center" wrapText="1"/>
    </xf>
    <xf numFmtId="0" fontId="0" fillId="6" borderId="13" xfId="0" applyFill="1" applyBorder="1" applyAlignment="1">
      <alignment wrapText="1"/>
    </xf>
    <xf numFmtId="0" fontId="0" fillId="6" borderId="14" xfId="0" applyFill="1" applyBorder="1" applyAlignment="1">
      <alignment wrapText="1"/>
    </xf>
    <xf numFmtId="0" fontId="1" fillId="5" borderId="39" xfId="0" applyFont="1" applyFill="1" applyBorder="1" applyAlignment="1">
      <alignment horizontal="center" vertical="center"/>
    </xf>
    <xf numFmtId="0" fontId="1" fillId="5" borderId="40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14" xfId="0" applyBorder="1" applyAlignment="1">
      <alignment horizontal="center" wrapText="1"/>
    </xf>
    <xf numFmtId="0" fontId="6" fillId="18" borderId="26" xfId="0" applyFont="1" applyFill="1" applyBorder="1" applyAlignment="1">
      <alignment horizontal="center" vertical="center"/>
    </xf>
    <xf numFmtId="0" fontId="6" fillId="18" borderId="25" xfId="0" applyFont="1" applyFill="1" applyBorder="1" applyAlignment="1">
      <alignment horizontal="center" vertical="center"/>
    </xf>
    <xf numFmtId="0" fontId="11" fillId="20" borderId="26" xfId="0" applyFont="1" applyFill="1" applyBorder="1" applyAlignment="1">
      <alignment horizontal="center" vertical="center"/>
    </xf>
    <xf numFmtId="0" fontId="11" fillId="20" borderId="36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5" fillId="9" borderId="1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3" fillId="3" borderId="30" xfId="0" applyFont="1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22" fillId="20" borderId="2" xfId="0" applyFont="1" applyFill="1" applyBorder="1" applyAlignment="1">
      <alignment horizontal="center" vertical="center"/>
    </xf>
    <xf numFmtId="0" fontId="22" fillId="20" borderId="31" xfId="0" applyFont="1" applyFill="1" applyBorder="1" applyAlignment="1">
      <alignment horizontal="center" vertical="center"/>
    </xf>
    <xf numFmtId="0" fontId="22" fillId="20" borderId="33" xfId="0" applyFont="1" applyFill="1" applyBorder="1" applyAlignment="1">
      <alignment horizontal="center" vertical="center"/>
    </xf>
    <xf numFmtId="0" fontId="24" fillId="25" borderId="35" xfId="0" applyFont="1" applyFill="1" applyBorder="1" applyAlignment="1">
      <alignment vertical="center"/>
    </xf>
    <xf numFmtId="0" fontId="24" fillId="25" borderId="5" xfId="0" applyFont="1" applyFill="1" applyBorder="1" applyAlignment="1">
      <alignment vertical="center"/>
    </xf>
    <xf numFmtId="0" fontId="24" fillId="26" borderId="35" xfId="0" applyFont="1" applyFill="1" applyBorder="1" applyAlignment="1">
      <alignment horizontal="center" vertical="center"/>
    </xf>
    <xf numFmtId="0" fontId="24" fillId="26" borderId="5" xfId="0" applyFont="1" applyFill="1" applyBorder="1" applyAlignment="1">
      <alignment horizontal="center" vertical="center"/>
    </xf>
    <xf numFmtId="0" fontId="24" fillId="26" borderId="35" xfId="0" applyFont="1" applyFill="1" applyBorder="1" applyAlignment="1">
      <alignment horizontal="center" vertical="center" wrapText="1"/>
    </xf>
    <xf numFmtId="0" fontId="24" fillId="26" borderId="5" xfId="0" applyFont="1" applyFill="1" applyBorder="1" applyAlignment="1">
      <alignment horizontal="center" vertical="center" wrapText="1"/>
    </xf>
    <xf numFmtId="0" fontId="24" fillId="26" borderId="48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1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3" fillId="3" borderId="50" xfId="0" applyFont="1" applyFill="1" applyBorder="1" applyAlignment="1">
      <alignment vertical="center"/>
    </xf>
    <xf numFmtId="0" fontId="0" fillId="3" borderId="51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uanmarti Baro, Josep Oriol" id="{3942A00F-F00A-477A-AB35-00509A4CD597}" userId="S::jojuanmarti@atl.cat::de589881-f6fe-4334-b37d-476809c68e18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3-04-17T12:11:55.29" personId="{3942A00F-F00A-477A-AB35-00509A4CD597}" id="{C32DC93C-E898-4178-9B3E-01EE529DA8D3}">
    <text>Indicar un sou brut de la taula Càlcul cost empresa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D5E6-96C7-4FB2-9AFC-445C14C55313}">
  <sheetPr>
    <pageSetUpPr fitToPage="1"/>
  </sheetPr>
  <dimension ref="A1:S49"/>
  <sheetViews>
    <sheetView topLeftCell="A9" zoomScale="70" zoomScaleNormal="70" workbookViewId="0">
      <selection activeCell="A9" sqref="A9"/>
    </sheetView>
  </sheetViews>
  <sheetFormatPr baseColWidth="10" defaultColWidth="8.7109375" defaultRowHeight="15" x14ac:dyDescent="0.25"/>
  <cols>
    <col min="1" max="1" width="40.5703125" style="5" customWidth="1"/>
    <col min="2" max="2" width="16.5703125" style="6" bestFit="1" customWidth="1"/>
    <col min="3" max="3" width="15.7109375" style="5" customWidth="1"/>
    <col min="4" max="4" width="13.7109375" style="5" customWidth="1"/>
    <col min="5" max="5" width="14.5703125" style="5" customWidth="1"/>
    <col min="6" max="6" width="15.7109375" style="5" bestFit="1" customWidth="1"/>
    <col min="7" max="7" width="15" style="5" customWidth="1"/>
    <col min="8" max="8" width="40" style="5" bestFit="1" customWidth="1"/>
    <col min="9" max="9" width="33.5703125" style="5" bestFit="1" customWidth="1"/>
    <col min="10" max="10" width="2.5703125" style="5" customWidth="1"/>
    <col min="11" max="11" width="23.140625" style="5" customWidth="1"/>
    <col min="12" max="12" width="17.42578125" style="5" bestFit="1" customWidth="1"/>
    <col min="13" max="13" width="14.85546875" style="5" bestFit="1" customWidth="1"/>
    <col min="14" max="14" width="18.28515625" style="5" customWidth="1"/>
    <col min="15" max="15" width="3.42578125" style="5" customWidth="1"/>
    <col min="16" max="16" width="12.28515625" style="5" customWidth="1"/>
    <col min="17" max="18" width="8.7109375" style="5"/>
    <col min="19" max="19" width="9.28515625" style="5" bestFit="1" customWidth="1"/>
    <col min="20" max="16384" width="8.7109375" style="5"/>
  </cols>
  <sheetData>
    <row r="1" spans="1:19" x14ac:dyDescent="0.25">
      <c r="A1" s="192" t="s">
        <v>0</v>
      </c>
      <c r="B1" s="192"/>
      <c r="C1" s="192"/>
      <c r="D1" s="192"/>
      <c r="E1" s="192"/>
      <c r="F1" s="193"/>
      <c r="H1" s="186" t="s">
        <v>1</v>
      </c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19" s="7" customFormat="1" ht="45.75" thickBot="1" x14ac:dyDescent="0.3">
      <c r="A2" s="12" t="s">
        <v>2</v>
      </c>
      <c r="B2" s="13" t="s">
        <v>3</v>
      </c>
      <c r="C2" s="13" t="s">
        <v>4</v>
      </c>
      <c r="D2" s="13" t="s">
        <v>5</v>
      </c>
      <c r="E2" s="13" t="s">
        <v>6</v>
      </c>
      <c r="F2" s="14" t="s">
        <v>7</v>
      </c>
      <c r="H2" s="189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1"/>
    </row>
    <row r="3" spans="1:19" ht="15.75" thickBot="1" x14ac:dyDescent="0.3">
      <c r="A3" s="8" t="s">
        <v>8</v>
      </c>
      <c r="B3" s="9" t="s">
        <v>9</v>
      </c>
      <c r="C3" s="18">
        <v>90000</v>
      </c>
      <c r="D3" s="10">
        <f>VLOOKUP(C3,'Costos Directes i indirectes'!$A$33:$F$49,3,FALSE)</f>
        <v>4128</v>
      </c>
      <c r="E3" s="10">
        <f>VLOOKUP(C3,'Costos Directes i indirectes'!$A$33:$F$49,6,FALSE)</f>
        <v>9750</v>
      </c>
      <c r="F3" s="15">
        <f>ROUNDUP(E3,-2)</f>
        <v>9800</v>
      </c>
      <c r="H3" s="197" t="s">
        <v>10</v>
      </c>
      <c r="I3" s="198"/>
      <c r="J3" s="1"/>
      <c r="K3" s="182" t="s">
        <v>11</v>
      </c>
      <c r="L3" s="183"/>
      <c r="M3" s="184"/>
      <c r="N3" s="185"/>
      <c r="P3" s="182" t="s">
        <v>12</v>
      </c>
      <c r="Q3" s="183"/>
      <c r="R3" s="184"/>
      <c r="S3" s="185"/>
    </row>
    <row r="4" spans="1:19" ht="30" x14ac:dyDescent="0.25">
      <c r="A4" s="8" t="s">
        <v>13</v>
      </c>
      <c r="B4" s="9" t="s">
        <v>14</v>
      </c>
      <c r="C4" s="18">
        <v>60000</v>
      </c>
      <c r="D4" s="10">
        <f>VLOOKUP(C4,'Costos Directes i indirectes'!$A$33:$F$49,3,FALSE)</f>
        <v>2917</v>
      </c>
      <c r="E4" s="10">
        <f>VLOOKUP(C4,'Costos Directes i indirectes'!$A$33:$F$49,6,FALSE)</f>
        <v>6500</v>
      </c>
      <c r="F4" s="15">
        <f t="shared" ref="F4:F26" si="0">ROUNDUP(E4,-2)</f>
        <v>6500</v>
      </c>
      <c r="H4" s="45"/>
      <c r="I4" s="46"/>
      <c r="J4" s="1"/>
      <c r="K4" s="33" t="s">
        <v>15</v>
      </c>
      <c r="L4" s="34" t="s">
        <v>16</v>
      </c>
      <c r="M4" s="34" t="s">
        <v>17</v>
      </c>
      <c r="N4" s="27" t="s">
        <v>18</v>
      </c>
      <c r="P4" s="33" t="s">
        <v>15</v>
      </c>
      <c r="Q4" s="34" t="s">
        <v>16</v>
      </c>
      <c r="R4" s="34" t="s">
        <v>17</v>
      </c>
      <c r="S4" s="27" t="s">
        <v>18</v>
      </c>
    </row>
    <row r="5" spans="1:19" ht="15.75" thickBot="1" x14ac:dyDescent="0.3">
      <c r="A5" s="8" t="s">
        <v>19</v>
      </c>
      <c r="B5" s="9" t="s">
        <v>20</v>
      </c>
      <c r="C5" s="18">
        <v>50000</v>
      </c>
      <c r="D5" s="10">
        <f>VLOOKUP(C5,'Costos Directes i indirectes'!$A$33:$F$49,3,FALSE)</f>
        <v>2468</v>
      </c>
      <c r="E5" s="10">
        <f>VLOOKUP(C5,'Costos Directes i indirectes'!$A$33:$F$49,6,FALSE)</f>
        <v>5416.666666666667</v>
      </c>
      <c r="F5" s="15">
        <f t="shared" si="0"/>
        <v>5500</v>
      </c>
      <c r="H5" s="195" t="s">
        <v>21</v>
      </c>
      <c r="I5" s="196"/>
      <c r="J5" s="1"/>
      <c r="K5" s="35" t="s">
        <v>22</v>
      </c>
      <c r="L5" s="36">
        <v>400</v>
      </c>
      <c r="M5" s="37">
        <v>3</v>
      </c>
      <c r="N5" s="38">
        <f>L5/(12*M5)</f>
        <v>11.111111111111111</v>
      </c>
      <c r="P5" s="40" t="s">
        <v>23</v>
      </c>
      <c r="Q5" s="106">
        <v>1500</v>
      </c>
      <c r="R5" s="106">
        <v>5</v>
      </c>
      <c r="S5" s="43">
        <f>Q5/(12*R5)</f>
        <v>25</v>
      </c>
    </row>
    <row r="6" spans="1:19" x14ac:dyDescent="0.25">
      <c r="A6" s="8" t="s">
        <v>24</v>
      </c>
      <c r="B6" s="9" t="s">
        <v>14</v>
      </c>
      <c r="C6" s="18">
        <v>60000</v>
      </c>
      <c r="D6" s="10">
        <f>VLOOKUP(C6,'Costos Directes i indirectes'!$A$33:$F$49,3,FALSE)</f>
        <v>2917</v>
      </c>
      <c r="E6" s="10">
        <f>VLOOKUP(C6,'Costos Directes i indirectes'!$A$33:$F$49,6,FALSE)</f>
        <v>6500</v>
      </c>
      <c r="F6" s="15">
        <f t="shared" si="0"/>
        <v>6500</v>
      </c>
      <c r="H6" s="98" t="s">
        <v>25</v>
      </c>
      <c r="I6" s="29">
        <v>500</v>
      </c>
      <c r="J6" s="1"/>
      <c r="K6" s="28" t="s">
        <v>26</v>
      </c>
      <c r="L6" s="39">
        <v>800</v>
      </c>
      <c r="M6" s="37">
        <v>3</v>
      </c>
      <c r="N6" s="38">
        <f>L6/(12*M6)</f>
        <v>22.222222222222221</v>
      </c>
    </row>
    <row r="7" spans="1:19" ht="15.75" thickBot="1" x14ac:dyDescent="0.3">
      <c r="A7" s="8" t="s">
        <v>27</v>
      </c>
      <c r="B7" s="9" t="s">
        <v>20</v>
      </c>
      <c r="C7" s="18">
        <v>45000</v>
      </c>
      <c r="D7" s="10">
        <f>VLOOKUP(C7,'Costos Directes i indirectes'!$A$33:$F$49,3,FALSE)</f>
        <v>2258</v>
      </c>
      <c r="E7" s="10">
        <f>VLOOKUP(C7,'Costos Directes i indirectes'!$A$33:$F$49,6,FALSE)</f>
        <v>4875</v>
      </c>
      <c r="F7" s="15">
        <f t="shared" si="0"/>
        <v>4900</v>
      </c>
      <c r="H7" s="30" t="s">
        <v>28</v>
      </c>
      <c r="I7" s="50">
        <f>I6/22</f>
        <v>22.727272727272727</v>
      </c>
      <c r="J7" s="1"/>
      <c r="K7" s="40" t="s">
        <v>29</v>
      </c>
      <c r="L7" s="41">
        <v>400</v>
      </c>
      <c r="M7" s="42">
        <v>3</v>
      </c>
      <c r="N7" s="43">
        <f>L7/(12*M7)</f>
        <v>11.111111111111111</v>
      </c>
    </row>
    <row r="8" spans="1:19" ht="15.75" thickBot="1" x14ac:dyDescent="0.3">
      <c r="A8" s="8" t="s">
        <v>30</v>
      </c>
      <c r="B8" s="9" t="s">
        <v>31</v>
      </c>
      <c r="C8" s="18">
        <v>40000</v>
      </c>
      <c r="D8" s="10">
        <f>VLOOKUP(C8,'Costos Directes i indirectes'!$A$33:$F$49,3,FALSE)</f>
        <v>2053</v>
      </c>
      <c r="E8" s="10">
        <f>VLOOKUP(C8,'Costos Directes i indirectes'!$A$33:$F$49,6,FALSE)</f>
        <v>4333.333333333333</v>
      </c>
      <c r="F8" s="15">
        <f t="shared" si="0"/>
        <v>4400</v>
      </c>
      <c r="H8" s="28"/>
      <c r="I8" s="47"/>
      <c r="J8" s="1"/>
      <c r="K8" s="1"/>
      <c r="L8" s="1"/>
      <c r="M8" s="1"/>
      <c r="N8" s="1"/>
    </row>
    <row r="9" spans="1:19" x14ac:dyDescent="0.25">
      <c r="A9" s="8" t="s">
        <v>32</v>
      </c>
      <c r="B9" s="9" t="s">
        <v>33</v>
      </c>
      <c r="C9" s="18">
        <v>35000</v>
      </c>
      <c r="D9" s="10">
        <f>VLOOKUP(C9,'Costos Directes i indirectes'!$A$33:$F$49,3,FALSE)</f>
        <v>1825</v>
      </c>
      <c r="E9" s="10">
        <f>VLOOKUP(C9,'Costos Directes i indirectes'!$A$33:$F$49,6,FALSE)</f>
        <v>3791.6666666666665</v>
      </c>
      <c r="F9" s="15">
        <f t="shared" si="0"/>
        <v>3800</v>
      </c>
      <c r="H9" s="195" t="s">
        <v>34</v>
      </c>
      <c r="I9" s="196"/>
      <c r="J9" s="1"/>
      <c r="K9" s="182" t="s">
        <v>35</v>
      </c>
      <c r="L9" s="183"/>
      <c r="M9" s="184"/>
      <c r="N9" s="185"/>
    </row>
    <row r="10" spans="1:19" x14ac:dyDescent="0.25">
      <c r="A10" s="8" t="s">
        <v>36</v>
      </c>
      <c r="B10" s="9" t="s">
        <v>33</v>
      </c>
      <c r="C10" s="18">
        <v>35000</v>
      </c>
      <c r="D10" s="10">
        <f>VLOOKUP(C10,'Costos Directes i indirectes'!$A$33:$F$49,3,FALSE)</f>
        <v>1825</v>
      </c>
      <c r="E10" s="10">
        <f>VLOOKUP(C10,'Costos Directes i indirectes'!$A$33:$F$49,6,FALSE)</f>
        <v>3791.6666666666665</v>
      </c>
      <c r="F10" s="15">
        <f t="shared" si="0"/>
        <v>3800</v>
      </c>
      <c r="H10" s="30" t="s">
        <v>37</v>
      </c>
      <c r="I10" s="31" t="s">
        <v>38</v>
      </c>
      <c r="J10" s="1"/>
      <c r="K10" s="33" t="s">
        <v>15</v>
      </c>
      <c r="L10" s="34" t="s">
        <v>39</v>
      </c>
      <c r="M10" s="34"/>
      <c r="N10" s="27" t="s">
        <v>18</v>
      </c>
    </row>
    <row r="11" spans="1:19" ht="15.75" thickBot="1" x14ac:dyDescent="0.3">
      <c r="A11" s="8" t="s">
        <v>40</v>
      </c>
      <c r="B11" s="9" t="s">
        <v>33</v>
      </c>
      <c r="C11" s="18">
        <v>35000</v>
      </c>
      <c r="D11" s="10">
        <f>VLOOKUP(C11,'Costos Directes i indirectes'!$A$33:$F$49,3,FALSE)</f>
        <v>1825</v>
      </c>
      <c r="E11" s="10">
        <f>VLOOKUP(C11,'Costos Directes i indirectes'!$A$33:$F$49,6,FALSE)</f>
        <v>3791.6666666666665</v>
      </c>
      <c r="F11" s="15">
        <f t="shared" si="0"/>
        <v>3800</v>
      </c>
      <c r="H11" s="30" t="s">
        <v>41</v>
      </c>
      <c r="I11" s="29">
        <v>0</v>
      </c>
      <c r="J11" s="32"/>
      <c r="K11" s="40" t="s">
        <v>42</v>
      </c>
      <c r="L11" s="41">
        <v>300</v>
      </c>
      <c r="M11" s="103"/>
      <c r="N11" s="43">
        <f>L11/12</f>
        <v>25</v>
      </c>
    </row>
    <row r="12" spans="1:19" x14ac:dyDescent="0.25">
      <c r="A12" s="8" t="s">
        <v>43</v>
      </c>
      <c r="B12" s="9" t="s">
        <v>33</v>
      </c>
      <c r="C12" s="18">
        <v>35000</v>
      </c>
      <c r="D12" s="10">
        <f>VLOOKUP(C12,'Costos Directes i indirectes'!$A$33:$F$49,3,FALSE)</f>
        <v>1825</v>
      </c>
      <c r="E12" s="10">
        <f>VLOOKUP(C12,'Costos Directes i indirectes'!$A$33:$F$49,6,FALSE)</f>
        <v>3791.6666666666665</v>
      </c>
      <c r="F12" s="15">
        <f t="shared" si="0"/>
        <v>3800</v>
      </c>
      <c r="H12" s="48" t="s">
        <v>44</v>
      </c>
      <c r="I12" s="50">
        <f>I11*2*22</f>
        <v>0</v>
      </c>
      <c r="J12" s="32"/>
      <c r="K12" s="1"/>
      <c r="L12" s="1"/>
      <c r="M12" s="1"/>
      <c r="N12" s="1"/>
    </row>
    <row r="13" spans="1:19" x14ac:dyDescent="0.25">
      <c r="A13" s="8" t="s">
        <v>45</v>
      </c>
      <c r="B13" s="9" t="s">
        <v>33</v>
      </c>
      <c r="C13" s="18">
        <v>35000</v>
      </c>
      <c r="D13" s="10">
        <f>VLOOKUP(C13,'Costos Directes i indirectes'!$A$33:$F$49,3,FALSE)</f>
        <v>1825</v>
      </c>
      <c r="E13" s="10">
        <f>VLOOKUP(C13,'Costos Directes i indirectes'!$A$33:$F$49,6,FALSE)</f>
        <v>3791.6666666666665</v>
      </c>
      <c r="F13" s="15">
        <f t="shared" si="0"/>
        <v>3800</v>
      </c>
      <c r="H13" s="30" t="s">
        <v>46</v>
      </c>
      <c r="I13" s="29">
        <v>45</v>
      </c>
      <c r="J13" s="1"/>
    </row>
    <row r="14" spans="1:19" x14ac:dyDescent="0.25">
      <c r="A14" s="8" t="s">
        <v>47</v>
      </c>
      <c r="B14" s="9" t="s">
        <v>33</v>
      </c>
      <c r="C14" s="18">
        <v>35000</v>
      </c>
      <c r="D14" s="10">
        <f>VLOOKUP(C14,'Costos Directes i indirectes'!$A$33:$F$49,3,FALSE)</f>
        <v>1825</v>
      </c>
      <c r="E14" s="10">
        <f>VLOOKUP(C14,'Costos Directes i indirectes'!$A$33:$F$49,6,FALSE)</f>
        <v>3791.6666666666665</v>
      </c>
      <c r="F14" s="15">
        <f t="shared" si="0"/>
        <v>3800</v>
      </c>
      <c r="H14" s="30" t="s">
        <v>48</v>
      </c>
      <c r="I14" s="29">
        <v>1.7</v>
      </c>
      <c r="J14" s="1"/>
    </row>
    <row r="15" spans="1:19" x14ac:dyDescent="0.25">
      <c r="A15" s="8" t="s">
        <v>49</v>
      </c>
      <c r="B15" s="9" t="s">
        <v>33</v>
      </c>
      <c r="C15" s="18">
        <v>35000</v>
      </c>
      <c r="D15" s="10">
        <f>VLOOKUP(C15,'Costos Directes i indirectes'!$A$33:$F$49,3,FALSE)</f>
        <v>1825</v>
      </c>
      <c r="E15" s="10">
        <f>VLOOKUP(C15,'Costos Directes i indirectes'!$A$33:$F$49,6,FALSE)</f>
        <v>3791.6666666666665</v>
      </c>
      <c r="F15" s="15">
        <f t="shared" si="0"/>
        <v>3800</v>
      </c>
      <c r="H15" s="30" t="s">
        <v>50</v>
      </c>
      <c r="I15" s="49">
        <v>5.5</v>
      </c>
      <c r="J15" s="1"/>
    </row>
    <row r="16" spans="1:19" x14ac:dyDescent="0.25">
      <c r="A16" s="8" t="s">
        <v>51</v>
      </c>
      <c r="B16" s="9" t="s">
        <v>33</v>
      </c>
      <c r="C16" s="18">
        <v>35000</v>
      </c>
      <c r="D16" s="10">
        <f>VLOOKUP(C16,'Costos Directes i indirectes'!$A$33:$F$49,3,FALSE)</f>
        <v>1825</v>
      </c>
      <c r="E16" s="10">
        <f>VLOOKUP(C16,'Costos Directes i indirectes'!$A$33:$F$49,6,FALSE)</f>
        <v>3791.6666666666665</v>
      </c>
      <c r="F16" s="15">
        <f t="shared" si="0"/>
        <v>3800</v>
      </c>
      <c r="H16" s="48" t="s">
        <v>52</v>
      </c>
      <c r="I16" s="50">
        <f>(I13*2)*(I15/100)*I14</f>
        <v>8.4150000000000009</v>
      </c>
      <c r="J16" s="1"/>
      <c r="K16" s="44"/>
      <c r="L16" s="1"/>
      <c r="M16" s="1"/>
      <c r="N16" s="1"/>
    </row>
    <row r="17" spans="1:14" ht="15.75" thickBot="1" x14ac:dyDescent="0.3">
      <c r="A17" s="8" t="s">
        <v>53</v>
      </c>
      <c r="B17" s="9" t="s">
        <v>33</v>
      </c>
      <c r="C17" s="18">
        <v>35000</v>
      </c>
      <c r="D17" s="10">
        <f>VLOOKUP(C17,'Costos Directes i indirectes'!$A$33:$F$49,3,FALSE)</f>
        <v>1825</v>
      </c>
      <c r="E17" s="10">
        <f>VLOOKUP(C17,'Costos Directes i indirectes'!$A$33:$F$49,6,FALSE)</f>
        <v>3791.6666666666665</v>
      </c>
      <c r="F17" s="15">
        <f t="shared" si="0"/>
        <v>3800</v>
      </c>
      <c r="H17" s="99"/>
      <c r="I17" s="100"/>
      <c r="J17" s="1"/>
      <c r="K17" s="44"/>
      <c r="L17" s="1"/>
      <c r="M17" s="1"/>
      <c r="N17" s="1"/>
    </row>
    <row r="18" spans="1:14" x14ac:dyDescent="0.25">
      <c r="A18" s="8" t="s">
        <v>54</v>
      </c>
      <c r="B18" s="9" t="s">
        <v>33</v>
      </c>
      <c r="C18" s="18">
        <v>35000</v>
      </c>
      <c r="D18" s="10">
        <f>VLOOKUP(C18,'Costos Directes i indirectes'!$A$33:$F$49,3,FALSE)</f>
        <v>1825</v>
      </c>
      <c r="E18" s="10">
        <f>VLOOKUP(C18,'Costos Directes i indirectes'!$A$33:$F$49,6,FALSE)</f>
        <v>3791.6666666666665</v>
      </c>
      <c r="F18" s="15">
        <f t="shared" si="0"/>
        <v>3800</v>
      </c>
      <c r="H18" s="182" t="s">
        <v>55</v>
      </c>
      <c r="I18" s="199"/>
      <c r="J18" s="1"/>
      <c r="K18" s="1"/>
      <c r="L18" s="1"/>
      <c r="M18" s="1"/>
      <c r="N18" s="1"/>
    </row>
    <row r="19" spans="1:14" ht="15.75" thickBot="1" x14ac:dyDescent="0.3">
      <c r="A19" s="8" t="s">
        <v>56</v>
      </c>
      <c r="B19" s="9" t="s">
        <v>20</v>
      </c>
      <c r="C19" s="18">
        <v>40000</v>
      </c>
      <c r="D19" s="10">
        <f>VLOOKUP(C19,'Costos Directes i indirectes'!$A$33:$F$49,3,FALSE)</f>
        <v>2053</v>
      </c>
      <c r="E19" s="10">
        <f>VLOOKUP(C19,'Costos Directes i indirectes'!$A$33:$F$49,6,FALSE)</f>
        <v>4333.333333333333</v>
      </c>
      <c r="F19" s="15">
        <f t="shared" si="0"/>
        <v>4400</v>
      </c>
      <c r="H19" s="101" t="s">
        <v>57</v>
      </c>
      <c r="I19" s="102">
        <v>19</v>
      </c>
      <c r="J19" s="1"/>
      <c r="K19" s="1"/>
      <c r="L19" s="1"/>
      <c r="M19" s="1"/>
      <c r="N19" s="1"/>
    </row>
    <row r="20" spans="1:14" ht="15.75" thickBot="1" x14ac:dyDescent="0.3">
      <c r="A20" s="8" t="s">
        <v>58</v>
      </c>
      <c r="B20" s="9" t="s">
        <v>20</v>
      </c>
      <c r="C20" s="18">
        <v>50000</v>
      </c>
      <c r="D20" s="10">
        <f>VLOOKUP(C20,'Costos Directes i indirectes'!$A$33:$F$49,3,FALSE)</f>
        <v>2468</v>
      </c>
      <c r="E20" s="10">
        <f>VLOOKUP(C20,'Costos Directes i indirectes'!$A$33:$F$49,6,FALSE)</f>
        <v>5416.666666666667</v>
      </c>
      <c r="F20" s="15">
        <f t="shared" si="0"/>
        <v>5500</v>
      </c>
      <c r="H20" s="1"/>
      <c r="I20" s="1"/>
      <c r="J20" s="1"/>
      <c r="K20" s="1"/>
      <c r="L20" s="1"/>
      <c r="M20" s="1"/>
      <c r="N20" s="1"/>
    </row>
    <row r="21" spans="1:14" ht="15.75" thickBot="1" x14ac:dyDescent="0.3">
      <c r="A21" s="8" t="s">
        <v>59</v>
      </c>
      <c r="B21" s="9" t="s">
        <v>31</v>
      </c>
      <c r="C21" s="18">
        <v>40000</v>
      </c>
      <c r="D21" s="10">
        <f>VLOOKUP(C21,'Costos Directes i indirectes'!$A$33:$F$49,3,FALSE)</f>
        <v>2053</v>
      </c>
      <c r="E21" s="10">
        <f>VLOOKUP(C21,'Costos Directes i indirectes'!$A$33:$F$49,6,FALSE)</f>
        <v>4333.333333333333</v>
      </c>
      <c r="F21" s="15">
        <f t="shared" si="0"/>
        <v>4400</v>
      </c>
      <c r="H21" s="111" t="s">
        <v>60</v>
      </c>
      <c r="I21" s="112">
        <f>I7+I16+I19</f>
        <v>50.142272727272726</v>
      </c>
      <c r="J21" s="1"/>
      <c r="K21" s="1"/>
      <c r="L21" s="1"/>
      <c r="M21" s="1"/>
      <c r="N21" s="1"/>
    </row>
    <row r="22" spans="1:14" customFormat="1" x14ac:dyDescent="0.25">
      <c r="A22" s="8" t="s">
        <v>61</v>
      </c>
      <c r="B22" s="9" t="s">
        <v>33</v>
      </c>
      <c r="C22" s="18">
        <v>45000</v>
      </c>
      <c r="D22" s="10">
        <f>VLOOKUP(C22,'Costos Directes i indirectes'!$A$33:$F$49,3,FALSE)</f>
        <v>2258</v>
      </c>
      <c r="E22" s="10">
        <f>VLOOKUP(C22,'Costos Directes i indirectes'!$A$33:$F$49,6,FALSE)</f>
        <v>4875</v>
      </c>
      <c r="F22" s="15">
        <f t="shared" si="0"/>
        <v>4900</v>
      </c>
      <c r="J22" s="1"/>
      <c r="K22" s="1"/>
      <c r="L22" s="1"/>
      <c r="M22" s="1"/>
      <c r="N22" s="1"/>
    </row>
    <row r="23" spans="1:14" customFormat="1" x14ac:dyDescent="0.25">
      <c r="A23" s="8" t="s">
        <v>62</v>
      </c>
      <c r="B23" s="9" t="s">
        <v>33</v>
      </c>
      <c r="C23" s="18">
        <v>35000</v>
      </c>
      <c r="D23" s="10">
        <f>VLOOKUP(C23,'Costos Directes i indirectes'!$A$33:$F$49,3,FALSE)</f>
        <v>1825</v>
      </c>
      <c r="E23" s="10">
        <f>VLOOKUP(C23,'Costos Directes i indirectes'!$A$33:$F$49,6,FALSE)</f>
        <v>3791.6666666666665</v>
      </c>
      <c r="F23" s="15">
        <f t="shared" si="0"/>
        <v>3800</v>
      </c>
      <c r="H23" s="5"/>
      <c r="I23" s="5"/>
      <c r="J23" s="1"/>
      <c r="K23" s="1"/>
      <c r="L23" s="1"/>
      <c r="M23" s="1"/>
      <c r="N23" s="1"/>
    </row>
    <row r="24" spans="1:14" x14ac:dyDescent="0.25">
      <c r="A24" s="8" t="s">
        <v>63</v>
      </c>
      <c r="B24" s="9" t="s">
        <v>33</v>
      </c>
      <c r="C24" s="18">
        <v>35000</v>
      </c>
      <c r="D24" s="10">
        <f>VLOOKUP(C24,'Costos Directes i indirectes'!$A$33:$F$49,3,FALSE)</f>
        <v>1825</v>
      </c>
      <c r="E24" s="10">
        <f>VLOOKUP(C24,'Costos Directes i indirectes'!$A$33:$F$49,6,FALSE)</f>
        <v>3791.6666666666665</v>
      </c>
      <c r="F24" s="15">
        <f t="shared" si="0"/>
        <v>3800</v>
      </c>
      <c r="J24"/>
      <c r="K24"/>
      <c r="L24"/>
      <c r="M24"/>
    </row>
    <row r="25" spans="1:14" x14ac:dyDescent="0.25">
      <c r="A25" s="8" t="s">
        <v>64</v>
      </c>
      <c r="B25" s="9" t="s">
        <v>31</v>
      </c>
      <c r="C25" s="18">
        <v>30000</v>
      </c>
      <c r="D25" s="10">
        <f>VLOOKUP(C25,'Costos Directes i indirectes'!$A$33:$F$49,3,FALSE)</f>
        <v>1596</v>
      </c>
      <c r="E25" s="10">
        <f>VLOOKUP(C25,'Costos Directes i indirectes'!$A$33:$F$49,6,FALSE)</f>
        <v>3250</v>
      </c>
      <c r="F25" s="15">
        <f t="shared" si="0"/>
        <v>3300</v>
      </c>
    </row>
    <row r="26" spans="1:14" x14ac:dyDescent="0.25">
      <c r="A26" s="8" t="s">
        <v>65</v>
      </c>
      <c r="B26" s="9" t="s">
        <v>33</v>
      </c>
      <c r="C26" s="18">
        <v>25000</v>
      </c>
      <c r="D26" s="10">
        <f>VLOOKUP(C26,'Costos Directes i indirectes'!$A$33:$F$49,3,FALSE)</f>
        <v>1368</v>
      </c>
      <c r="E26" s="10">
        <f>VLOOKUP(C26,'Costos Directes i indirectes'!$A$33:$F$49,6,FALSE)</f>
        <v>2708.3333333333335</v>
      </c>
      <c r="F26" s="15">
        <f t="shared" si="0"/>
        <v>2800</v>
      </c>
    </row>
    <row r="27" spans="1:14" x14ac:dyDescent="0.25">
      <c r="C27" s="11"/>
      <c r="D27" s="11"/>
      <c r="E27" s="11"/>
    </row>
    <row r="28" spans="1:14" x14ac:dyDescent="0.25">
      <c r="A28" s="5" t="s">
        <v>66</v>
      </c>
      <c r="C28" s="11"/>
      <c r="D28" s="11"/>
      <c r="E28" s="11"/>
    </row>
    <row r="29" spans="1:14" x14ac:dyDescent="0.25">
      <c r="A29" s="5" t="s">
        <v>67</v>
      </c>
    </row>
    <row r="31" spans="1:14" x14ac:dyDescent="0.25">
      <c r="A31" s="194" t="s">
        <v>68</v>
      </c>
      <c r="B31" s="194"/>
      <c r="C31" s="194"/>
      <c r="D31" s="194"/>
      <c r="E31" s="194"/>
      <c r="F31" s="194"/>
    </row>
    <row r="32" spans="1:14" ht="45" x14ac:dyDescent="0.25">
      <c r="A32" s="16" t="s">
        <v>4</v>
      </c>
      <c r="B32" s="4" t="s">
        <v>69</v>
      </c>
      <c r="C32" s="4" t="s">
        <v>70</v>
      </c>
      <c r="D32" s="4" t="s">
        <v>71</v>
      </c>
      <c r="E32" s="4" t="s">
        <v>72</v>
      </c>
      <c r="F32" s="16" t="s">
        <v>73</v>
      </c>
    </row>
    <row r="33" spans="1:6" x14ac:dyDescent="0.25">
      <c r="A33" s="19">
        <v>20000</v>
      </c>
      <c r="B33" s="2">
        <f t="shared" ref="B33:B49" si="1">A33/14</f>
        <v>1428.5714285714287</v>
      </c>
      <c r="C33" s="20">
        <v>1125</v>
      </c>
      <c r="D33" s="3">
        <f t="shared" ref="D33:D49" si="2">1-(C33/B33)</f>
        <v>0.21250000000000002</v>
      </c>
      <c r="E33" s="2">
        <f t="shared" ref="E33:E49" si="3">A33*1.3</f>
        <v>26000</v>
      </c>
      <c r="F33" s="17">
        <f t="shared" ref="F33:F49" si="4">E33/12</f>
        <v>2166.6666666666665</v>
      </c>
    </row>
    <row r="34" spans="1:6" x14ac:dyDescent="0.25">
      <c r="A34" s="19">
        <f t="shared" ref="A34:A49" si="5">A33+5000</f>
        <v>25000</v>
      </c>
      <c r="B34" s="2">
        <f t="shared" si="1"/>
        <v>1785.7142857142858</v>
      </c>
      <c r="C34" s="20">
        <v>1368</v>
      </c>
      <c r="D34" s="3">
        <f t="shared" si="2"/>
        <v>0.23392000000000002</v>
      </c>
      <c r="E34" s="2">
        <f t="shared" si="3"/>
        <v>32500</v>
      </c>
      <c r="F34" s="17">
        <f t="shared" si="4"/>
        <v>2708.3333333333335</v>
      </c>
    </row>
    <row r="35" spans="1:6" x14ac:dyDescent="0.25">
      <c r="A35" s="19">
        <f t="shared" si="5"/>
        <v>30000</v>
      </c>
      <c r="B35" s="2">
        <f t="shared" si="1"/>
        <v>2142.8571428571427</v>
      </c>
      <c r="C35" s="20">
        <v>1596</v>
      </c>
      <c r="D35" s="3">
        <f t="shared" si="2"/>
        <v>0.25519999999999998</v>
      </c>
      <c r="E35" s="2">
        <f t="shared" si="3"/>
        <v>39000</v>
      </c>
      <c r="F35" s="17">
        <f t="shared" si="4"/>
        <v>3250</v>
      </c>
    </row>
    <row r="36" spans="1:6" x14ac:dyDescent="0.25">
      <c r="A36" s="19">
        <f t="shared" si="5"/>
        <v>35000</v>
      </c>
      <c r="B36" s="2">
        <f t="shared" si="1"/>
        <v>2500</v>
      </c>
      <c r="C36" s="20">
        <v>1825</v>
      </c>
      <c r="D36" s="3">
        <f t="shared" si="2"/>
        <v>0.27</v>
      </c>
      <c r="E36" s="2">
        <f t="shared" si="3"/>
        <v>45500</v>
      </c>
      <c r="F36" s="17">
        <f t="shared" si="4"/>
        <v>3791.6666666666665</v>
      </c>
    </row>
    <row r="37" spans="1:6" x14ac:dyDescent="0.25">
      <c r="A37" s="19">
        <f t="shared" si="5"/>
        <v>40000</v>
      </c>
      <c r="B37" s="2">
        <f t="shared" si="1"/>
        <v>2857.1428571428573</v>
      </c>
      <c r="C37" s="20">
        <v>2053</v>
      </c>
      <c r="D37" s="3">
        <f t="shared" si="2"/>
        <v>0.28145000000000009</v>
      </c>
      <c r="E37" s="2">
        <f t="shared" si="3"/>
        <v>52000</v>
      </c>
      <c r="F37" s="17">
        <f t="shared" si="4"/>
        <v>4333.333333333333</v>
      </c>
    </row>
    <row r="38" spans="1:6" x14ac:dyDescent="0.25">
      <c r="A38" s="19">
        <f t="shared" si="5"/>
        <v>45000</v>
      </c>
      <c r="B38" s="2">
        <f t="shared" si="1"/>
        <v>3214.2857142857142</v>
      </c>
      <c r="C38" s="20">
        <v>2258</v>
      </c>
      <c r="D38" s="3">
        <f t="shared" si="2"/>
        <v>0.29751111111111106</v>
      </c>
      <c r="E38" s="2">
        <f t="shared" si="3"/>
        <v>58500</v>
      </c>
      <c r="F38" s="17">
        <f t="shared" si="4"/>
        <v>4875</v>
      </c>
    </row>
    <row r="39" spans="1:6" x14ac:dyDescent="0.25">
      <c r="A39" s="19">
        <f t="shared" si="5"/>
        <v>50000</v>
      </c>
      <c r="B39" s="2">
        <f t="shared" si="1"/>
        <v>3571.4285714285716</v>
      </c>
      <c r="C39" s="20">
        <v>2468</v>
      </c>
      <c r="D39" s="3">
        <f t="shared" si="2"/>
        <v>0.30896000000000001</v>
      </c>
      <c r="E39" s="2">
        <f t="shared" si="3"/>
        <v>65000</v>
      </c>
      <c r="F39" s="17">
        <f t="shared" si="4"/>
        <v>5416.666666666667</v>
      </c>
    </row>
    <row r="40" spans="1:6" x14ac:dyDescent="0.25">
      <c r="A40" s="19">
        <f t="shared" si="5"/>
        <v>55000</v>
      </c>
      <c r="B40" s="2">
        <f t="shared" si="1"/>
        <v>3928.5714285714284</v>
      </c>
      <c r="C40" s="20">
        <v>2693</v>
      </c>
      <c r="D40" s="3">
        <f t="shared" si="2"/>
        <v>0.31450909090909085</v>
      </c>
      <c r="E40" s="2">
        <f t="shared" si="3"/>
        <v>71500</v>
      </c>
      <c r="F40" s="17">
        <f t="shared" si="4"/>
        <v>5958.333333333333</v>
      </c>
    </row>
    <row r="41" spans="1:6" x14ac:dyDescent="0.25">
      <c r="A41" s="19">
        <f t="shared" si="5"/>
        <v>60000</v>
      </c>
      <c r="B41" s="2">
        <f t="shared" si="1"/>
        <v>4285.7142857142853</v>
      </c>
      <c r="C41" s="20">
        <v>2917</v>
      </c>
      <c r="D41" s="3">
        <f t="shared" si="2"/>
        <v>0.31936666666666658</v>
      </c>
      <c r="E41" s="2">
        <f t="shared" si="3"/>
        <v>78000</v>
      </c>
      <c r="F41" s="17">
        <f t="shared" si="4"/>
        <v>6500</v>
      </c>
    </row>
    <row r="42" spans="1:6" x14ac:dyDescent="0.25">
      <c r="A42" s="19">
        <f t="shared" si="5"/>
        <v>65000</v>
      </c>
      <c r="B42" s="2">
        <f t="shared" si="1"/>
        <v>4642.8571428571431</v>
      </c>
      <c r="C42" s="20">
        <v>3143</v>
      </c>
      <c r="D42" s="3">
        <f t="shared" si="2"/>
        <v>0.32304615384615387</v>
      </c>
      <c r="E42" s="2">
        <f t="shared" si="3"/>
        <v>84500</v>
      </c>
      <c r="F42" s="17">
        <f t="shared" si="4"/>
        <v>7041.666666666667</v>
      </c>
    </row>
    <row r="43" spans="1:6" x14ac:dyDescent="0.25">
      <c r="A43" s="19">
        <f t="shared" si="5"/>
        <v>70000</v>
      </c>
      <c r="B43" s="2">
        <f t="shared" si="1"/>
        <v>5000</v>
      </c>
      <c r="C43" s="20">
        <v>3342</v>
      </c>
      <c r="D43" s="3">
        <f t="shared" si="2"/>
        <v>0.33160000000000001</v>
      </c>
      <c r="E43" s="2">
        <f t="shared" si="3"/>
        <v>91000</v>
      </c>
      <c r="F43" s="17">
        <f t="shared" si="4"/>
        <v>7583.333333333333</v>
      </c>
    </row>
    <row r="44" spans="1:6" x14ac:dyDescent="0.25">
      <c r="A44" s="19">
        <f t="shared" si="5"/>
        <v>75000</v>
      </c>
      <c r="B44" s="2">
        <f t="shared" si="1"/>
        <v>5357.1428571428569</v>
      </c>
      <c r="C44" s="20">
        <v>3538</v>
      </c>
      <c r="D44" s="3">
        <f t="shared" si="2"/>
        <v>0.33957333333333328</v>
      </c>
      <c r="E44" s="2">
        <f t="shared" si="3"/>
        <v>97500</v>
      </c>
      <c r="F44" s="17">
        <f t="shared" si="4"/>
        <v>8125</v>
      </c>
    </row>
    <row r="45" spans="1:6" x14ac:dyDescent="0.25">
      <c r="A45" s="19">
        <f t="shared" si="5"/>
        <v>80000</v>
      </c>
      <c r="B45" s="2">
        <f t="shared" si="1"/>
        <v>5714.2857142857147</v>
      </c>
      <c r="C45" s="20">
        <v>3734</v>
      </c>
      <c r="D45" s="3">
        <f t="shared" si="2"/>
        <v>0.34655000000000002</v>
      </c>
      <c r="E45" s="2">
        <f t="shared" si="3"/>
        <v>104000</v>
      </c>
      <c r="F45" s="17">
        <f t="shared" si="4"/>
        <v>8666.6666666666661</v>
      </c>
    </row>
    <row r="46" spans="1:6" x14ac:dyDescent="0.25">
      <c r="A46" s="19">
        <f t="shared" si="5"/>
        <v>85000</v>
      </c>
      <c r="B46" s="2">
        <f t="shared" si="1"/>
        <v>6071.4285714285716</v>
      </c>
      <c r="C46" s="20">
        <v>3931</v>
      </c>
      <c r="D46" s="3">
        <f t="shared" si="2"/>
        <v>0.35254117647058825</v>
      </c>
      <c r="E46" s="2">
        <f t="shared" si="3"/>
        <v>110500</v>
      </c>
      <c r="F46" s="17">
        <f t="shared" si="4"/>
        <v>9208.3333333333339</v>
      </c>
    </row>
    <row r="47" spans="1:6" x14ac:dyDescent="0.25">
      <c r="A47" s="19">
        <f t="shared" si="5"/>
        <v>90000</v>
      </c>
      <c r="B47" s="2">
        <f t="shared" si="1"/>
        <v>6428.5714285714284</v>
      </c>
      <c r="C47" s="20">
        <v>4128</v>
      </c>
      <c r="D47" s="3">
        <f t="shared" si="2"/>
        <v>0.35786666666666667</v>
      </c>
      <c r="E47" s="2">
        <f t="shared" si="3"/>
        <v>117000</v>
      </c>
      <c r="F47" s="17">
        <f t="shared" si="4"/>
        <v>9750</v>
      </c>
    </row>
    <row r="48" spans="1:6" x14ac:dyDescent="0.25">
      <c r="A48" s="19">
        <f t="shared" si="5"/>
        <v>95000</v>
      </c>
      <c r="B48" s="2">
        <f t="shared" si="1"/>
        <v>6785.7142857142853</v>
      </c>
      <c r="C48" s="20">
        <v>4324</v>
      </c>
      <c r="D48" s="3">
        <f t="shared" si="2"/>
        <v>0.36277894736842098</v>
      </c>
      <c r="E48" s="2">
        <f t="shared" si="3"/>
        <v>123500</v>
      </c>
      <c r="F48" s="17">
        <f t="shared" si="4"/>
        <v>10291.666666666666</v>
      </c>
    </row>
    <row r="49" spans="1:6" x14ac:dyDescent="0.25">
      <c r="A49" s="19">
        <f t="shared" si="5"/>
        <v>100000</v>
      </c>
      <c r="B49" s="2">
        <f t="shared" si="1"/>
        <v>7142.8571428571431</v>
      </c>
      <c r="C49" s="20">
        <v>4520</v>
      </c>
      <c r="D49" s="3">
        <f t="shared" si="2"/>
        <v>0.36719999999999997</v>
      </c>
      <c r="E49" s="2">
        <f t="shared" si="3"/>
        <v>130000</v>
      </c>
      <c r="F49" s="17">
        <f t="shared" si="4"/>
        <v>10833.333333333334</v>
      </c>
    </row>
  </sheetData>
  <mergeCells count="10">
    <mergeCell ref="P3:S3"/>
    <mergeCell ref="K9:N9"/>
    <mergeCell ref="H1:S2"/>
    <mergeCell ref="A1:F1"/>
    <mergeCell ref="A31:F31"/>
    <mergeCell ref="H9:I9"/>
    <mergeCell ref="H3:I3"/>
    <mergeCell ref="K3:N3"/>
    <mergeCell ref="H18:I18"/>
    <mergeCell ref="H5:I5"/>
  </mergeCells>
  <pageMargins left="0.7" right="0.7" top="0.75" bottom="0.75" header="0.3" footer="0.3"/>
  <pageSetup paperSize="8" fitToHeight="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8F859-7BD9-4446-ADEB-84DA5EA36FAC}">
  <sheetPr>
    <outlinePr summaryBelow="0" summaryRight="0"/>
    <pageSetUpPr fitToPage="1"/>
  </sheetPr>
  <dimension ref="A1:P133"/>
  <sheetViews>
    <sheetView view="pageBreakPreview" topLeftCell="A13" zoomScaleNormal="100" zoomScaleSheetLayoutView="100" workbookViewId="0">
      <selection activeCell="M22" sqref="M22"/>
    </sheetView>
  </sheetViews>
  <sheetFormatPr baseColWidth="10" defaultColWidth="8.85546875" defaultRowHeight="12.75" outlineLevelRow="2" x14ac:dyDescent="0.25"/>
  <cols>
    <col min="1" max="1" width="30.140625" style="26" bestFit="1" customWidth="1"/>
    <col min="2" max="2" width="7.85546875" style="26" bestFit="1" customWidth="1"/>
    <col min="3" max="3" width="15.28515625" style="26" bestFit="1" customWidth="1"/>
    <col min="4" max="4" width="20" style="26" bestFit="1" customWidth="1"/>
    <col min="5" max="5" width="24.85546875" style="26" bestFit="1" customWidth="1"/>
    <col min="6" max="6" width="19.42578125" style="26" bestFit="1" customWidth="1"/>
    <col min="7" max="7" width="4.5703125" style="26" bestFit="1" customWidth="1"/>
    <col min="8" max="8" width="35.42578125" style="26" bestFit="1" customWidth="1"/>
    <col min="9" max="9" width="14" style="26" bestFit="1" customWidth="1"/>
    <col min="10" max="10" width="17.7109375" style="26" bestFit="1" customWidth="1"/>
    <col min="11" max="11" width="14" style="26" bestFit="1" customWidth="1"/>
    <col min="12" max="12" width="9.7109375" style="26" bestFit="1" customWidth="1"/>
    <col min="13" max="13" width="13.42578125" style="26" bestFit="1" customWidth="1"/>
    <col min="14" max="14" width="8.85546875" style="26"/>
    <col min="15" max="15" width="33.42578125" style="26" hidden="1" customWidth="1"/>
    <col min="16" max="16" width="7.85546875" style="26" hidden="1" customWidth="1"/>
    <col min="17" max="16384" width="8.85546875" style="26"/>
  </cols>
  <sheetData>
    <row r="1" spans="1:15" ht="18.75" x14ac:dyDescent="0.25">
      <c r="A1" s="230" t="s">
        <v>136</v>
      </c>
      <c r="B1" s="230"/>
      <c r="C1" s="230"/>
      <c r="D1" s="230"/>
      <c r="E1" s="230"/>
      <c r="F1" s="230"/>
      <c r="G1" s="231"/>
      <c r="H1" s="231"/>
      <c r="I1" s="231"/>
      <c r="J1" s="231"/>
      <c r="K1" s="231"/>
      <c r="L1" s="231"/>
      <c r="M1" s="231"/>
    </row>
    <row r="2" spans="1:15" ht="18.75" x14ac:dyDescent="0.25">
      <c r="A2" s="232" t="s">
        <v>74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</row>
    <row r="3" spans="1:15" ht="13.5" thickBot="1" x14ac:dyDescent="0.3"/>
    <row r="4" spans="1:15" ht="18.75" x14ac:dyDescent="0.25">
      <c r="A4" s="206" t="s">
        <v>75</v>
      </c>
      <c r="B4" s="207"/>
      <c r="C4" s="207"/>
      <c r="D4" s="207"/>
      <c r="E4" s="208"/>
      <c r="F4" s="59">
        <f>F5+F21+F97</f>
        <v>88936.067020202026</v>
      </c>
      <c r="G4" s="97"/>
      <c r="O4" s="66" t="e">
        <f>O5+O25</f>
        <v>#REF!</v>
      </c>
    </row>
    <row r="5" spans="1:15" ht="18.75" x14ac:dyDescent="0.25">
      <c r="A5" s="209" t="s">
        <v>76</v>
      </c>
      <c r="B5" s="210"/>
      <c r="C5" s="210"/>
      <c r="D5" s="210"/>
      <c r="E5" s="211"/>
      <c r="F5" s="58">
        <f>SUM(F8:F20)</f>
        <v>75520</v>
      </c>
      <c r="G5" s="97"/>
      <c r="H5" s="224" t="s">
        <v>77</v>
      </c>
      <c r="I5" s="225"/>
      <c r="J5" s="225"/>
      <c r="K5" s="226"/>
      <c r="L5" s="226"/>
      <c r="M5" s="227"/>
      <c r="O5" s="67" t="e">
        <f>SUM(O8:O24)</f>
        <v>#REF!</v>
      </c>
    </row>
    <row r="6" spans="1:15" ht="18.75" x14ac:dyDescent="0.25">
      <c r="A6" s="204" t="s">
        <v>78</v>
      </c>
      <c r="B6" s="205"/>
      <c r="C6" s="205"/>
      <c r="D6" s="205"/>
      <c r="E6" s="205"/>
      <c r="F6" s="79">
        <f>SUM(F8:F20)</f>
        <v>75520</v>
      </c>
      <c r="G6" s="97"/>
      <c r="H6" s="228" t="s">
        <v>79</v>
      </c>
      <c r="I6" s="229"/>
      <c r="J6" s="229"/>
      <c r="K6" s="229"/>
      <c r="L6" s="229"/>
      <c r="M6" s="154">
        <f>SUM(M8:M22)</f>
        <v>120000.00093939395</v>
      </c>
    </row>
    <row r="7" spans="1:15" ht="25.5" x14ac:dyDescent="0.25">
      <c r="A7" s="78"/>
      <c r="B7" s="24" t="s">
        <v>80</v>
      </c>
      <c r="C7" s="25" t="s">
        <v>81</v>
      </c>
      <c r="D7" s="25" t="s">
        <v>82</v>
      </c>
      <c r="E7" s="24" t="s">
        <v>83</v>
      </c>
      <c r="F7" s="52" t="s">
        <v>84</v>
      </c>
      <c r="G7" s="97"/>
      <c r="H7" s="155"/>
      <c r="I7" s="149" t="s">
        <v>80</v>
      </c>
      <c r="J7" s="150" t="s">
        <v>81</v>
      </c>
      <c r="K7" s="150" t="s">
        <v>82</v>
      </c>
      <c r="L7" s="149" t="s">
        <v>83</v>
      </c>
      <c r="M7" s="156" t="s">
        <v>84</v>
      </c>
    </row>
    <row r="8" spans="1:15" ht="18.75" x14ac:dyDescent="0.25">
      <c r="A8" s="53" t="s">
        <v>13</v>
      </c>
      <c r="B8" s="21" t="s">
        <v>85</v>
      </c>
      <c r="C8" s="117">
        <f>VLOOKUP(A8,'Costos Directes i indirectes'!$A$3:$F$26,6,FALSE)</f>
        <v>6500</v>
      </c>
      <c r="D8" s="23">
        <v>20</v>
      </c>
      <c r="E8" s="23">
        <v>8</v>
      </c>
      <c r="F8" s="54">
        <f>C8*(D8/100)*E8</f>
        <v>10400</v>
      </c>
      <c r="G8" s="97"/>
      <c r="H8" s="157" t="str">
        <f t="shared" ref="H8:H20" si="0">A8</f>
        <v>Autor de projecte (15)</v>
      </c>
      <c r="I8" s="151" t="str">
        <f>B8</f>
        <v>mes</v>
      </c>
      <c r="J8" s="152">
        <f>21575.08/(8*0.3)</f>
        <v>8989.6166666666686</v>
      </c>
      <c r="K8" s="151">
        <f t="shared" ref="K8:K20" si="1">D8</f>
        <v>20</v>
      </c>
      <c r="L8" s="151">
        <f t="shared" ref="L8:L20" si="2">E8</f>
        <v>8</v>
      </c>
      <c r="M8" s="158">
        <f>J8*(K8/100)*L8</f>
        <v>14383.386666666671</v>
      </c>
      <c r="O8" s="60" t="e">
        <f>#REF!*1.19</f>
        <v>#REF!</v>
      </c>
    </row>
    <row r="9" spans="1:15" ht="18.75" x14ac:dyDescent="0.25">
      <c r="A9" s="53" t="s">
        <v>27</v>
      </c>
      <c r="B9" s="21" t="s">
        <v>85</v>
      </c>
      <c r="C9" s="117">
        <f>VLOOKUP(A9,'Costos Directes i indirectes'!$A$3:$F$26,6,FALSE)</f>
        <v>4900</v>
      </c>
      <c r="D9" s="23">
        <v>50</v>
      </c>
      <c r="E9" s="23">
        <v>8</v>
      </c>
      <c r="F9" s="54">
        <f t="shared" ref="F9:F20" si="3">C9*(D9/100)*E9</f>
        <v>19600</v>
      </c>
      <c r="G9" s="97"/>
      <c r="H9" s="157" t="str">
        <f t="shared" si="0"/>
        <v>Adjunt autor de projecte (10)</v>
      </c>
      <c r="I9" s="151" t="str">
        <f t="shared" ref="I9:I20" si="4">B9</f>
        <v>mes</v>
      </c>
      <c r="J9" s="152">
        <f>((C9+C36)+C26)*(1+$F$105+$F$106)</f>
        <v>6795.1920681818174</v>
      </c>
      <c r="K9" s="151">
        <f t="shared" si="1"/>
        <v>50</v>
      </c>
      <c r="L9" s="151">
        <f t="shared" si="2"/>
        <v>8</v>
      </c>
      <c r="M9" s="158">
        <f t="shared" ref="M9:M20" si="5">J9*(K9/100)*L9</f>
        <v>27180.76827272727</v>
      </c>
      <c r="O9" s="60" t="e">
        <f>#REF!*1.19</f>
        <v>#REF!</v>
      </c>
    </row>
    <row r="10" spans="1:15" ht="18.75" x14ac:dyDescent="0.25">
      <c r="A10" s="53" t="s">
        <v>32</v>
      </c>
      <c r="B10" s="21" t="s">
        <v>85</v>
      </c>
      <c r="C10" s="117">
        <f>VLOOKUP(A10,'Costos Directes i indirectes'!$A$3:$F$26,6,FALSE)</f>
        <v>3800</v>
      </c>
      <c r="D10" s="23">
        <v>50</v>
      </c>
      <c r="E10" s="23">
        <v>1</v>
      </c>
      <c r="F10" s="54">
        <f t="shared" ref="F10" si="6">C10*(D10/100)*E10</f>
        <v>1900</v>
      </c>
      <c r="G10" s="97"/>
      <c r="H10" s="157" t="str">
        <f t="shared" si="0"/>
        <v>Tècnic geotècnia</v>
      </c>
      <c r="I10" s="151" t="str">
        <f t="shared" si="4"/>
        <v>mes</v>
      </c>
      <c r="J10" s="152">
        <f>(C10+C41)*(1+$F$105+$F$106)</f>
        <v>5242.5</v>
      </c>
      <c r="K10" s="151">
        <f t="shared" si="1"/>
        <v>50</v>
      </c>
      <c r="L10" s="151">
        <f t="shared" si="2"/>
        <v>1</v>
      </c>
      <c r="M10" s="158">
        <f t="shared" si="5"/>
        <v>2621.25</v>
      </c>
      <c r="O10" s="60" t="e">
        <f>#REF!*1.19</f>
        <v>#REF!</v>
      </c>
    </row>
    <row r="11" spans="1:15" ht="18.75" x14ac:dyDescent="0.25">
      <c r="A11" s="53" t="s">
        <v>36</v>
      </c>
      <c r="B11" s="21" t="s">
        <v>85</v>
      </c>
      <c r="C11" s="117">
        <f>VLOOKUP(A11,'Costos Directes i indirectes'!$A$3:$F$26,6,FALSE)</f>
        <v>3800</v>
      </c>
      <c r="D11" s="23">
        <v>50</v>
      </c>
      <c r="E11" s="23">
        <v>1</v>
      </c>
      <c r="F11" s="54">
        <f t="shared" si="3"/>
        <v>1900</v>
      </c>
      <c r="G11" s="97"/>
      <c r="H11" s="157" t="str">
        <f t="shared" si="0"/>
        <v>Tècnic càlculs hidràulics</v>
      </c>
      <c r="I11" s="151" t="str">
        <f t="shared" si="4"/>
        <v>mes</v>
      </c>
      <c r="J11" s="152">
        <f>(C11+C46)*(1+$F$105+$F$106)</f>
        <v>5242.5</v>
      </c>
      <c r="K11" s="151">
        <f t="shared" si="1"/>
        <v>50</v>
      </c>
      <c r="L11" s="151">
        <f t="shared" si="2"/>
        <v>1</v>
      </c>
      <c r="M11" s="158">
        <f t="shared" si="5"/>
        <v>2621.25</v>
      </c>
      <c r="O11" s="60" t="e">
        <f>#REF!*1.19</f>
        <v>#REF!</v>
      </c>
    </row>
    <row r="12" spans="1:15" ht="18.75" x14ac:dyDescent="0.25">
      <c r="A12" s="53" t="s">
        <v>45</v>
      </c>
      <c r="B12" s="21" t="s">
        <v>85</v>
      </c>
      <c r="C12" s="117">
        <f>VLOOKUP(A12,'Costos Directes i indirectes'!$A$3:$F$26,6,FALSE)</f>
        <v>3800</v>
      </c>
      <c r="D12" s="23">
        <v>50</v>
      </c>
      <c r="E12" s="23">
        <v>2</v>
      </c>
      <c r="F12" s="54">
        <f t="shared" ref="F12:F15" si="7">C12*(D12/100)*E12</f>
        <v>3800</v>
      </c>
      <c r="G12" s="97"/>
      <c r="H12" s="157" t="str">
        <f t="shared" si="0"/>
        <v>Tècnic calculs estructurals</v>
      </c>
      <c r="I12" s="151" t="str">
        <f t="shared" si="4"/>
        <v>mes</v>
      </c>
      <c r="J12" s="152">
        <f>(C12+C51)*(1+$F$105+$F$106)</f>
        <v>5242.5</v>
      </c>
      <c r="K12" s="151">
        <f t="shared" si="1"/>
        <v>50</v>
      </c>
      <c r="L12" s="151">
        <f t="shared" si="2"/>
        <v>2</v>
      </c>
      <c r="M12" s="158">
        <f t="shared" ref="M12:M15" si="8">J12*(K12/100)*L12</f>
        <v>5242.5</v>
      </c>
      <c r="O12" s="60"/>
    </row>
    <row r="13" spans="1:15" ht="18.75" x14ac:dyDescent="0.25">
      <c r="A13" s="53" t="s">
        <v>51</v>
      </c>
      <c r="B13" s="21" t="s">
        <v>85</v>
      </c>
      <c r="C13" s="117">
        <f>VLOOKUP(A13,'Costos Directes i indirectes'!$A$3:$F$26,6,FALSE)</f>
        <v>3800</v>
      </c>
      <c r="D13" s="23">
        <v>50</v>
      </c>
      <c r="E13" s="23">
        <v>1</v>
      </c>
      <c r="F13" s="54">
        <f t="shared" si="7"/>
        <v>1900</v>
      </c>
      <c r="G13" s="97"/>
      <c r="H13" s="157" t="str">
        <f t="shared" si="0"/>
        <v>Tècnic automatització i telecontrol</v>
      </c>
      <c r="I13" s="151" t="str">
        <f t="shared" si="4"/>
        <v>mes</v>
      </c>
      <c r="J13" s="152">
        <f>(C13+C56)*(1+$F$105+$F$106)</f>
        <v>5242.5</v>
      </c>
      <c r="K13" s="151">
        <f t="shared" si="1"/>
        <v>50</v>
      </c>
      <c r="L13" s="151">
        <f t="shared" si="2"/>
        <v>1</v>
      </c>
      <c r="M13" s="158">
        <f t="shared" si="8"/>
        <v>2621.25</v>
      </c>
      <c r="O13" s="60"/>
    </row>
    <row r="14" spans="1:15" ht="25.5" x14ac:dyDescent="0.25">
      <c r="A14" s="53" t="s">
        <v>49</v>
      </c>
      <c r="B14" s="21" t="s">
        <v>85</v>
      </c>
      <c r="C14" s="117">
        <f>VLOOKUP(A14,'Costos Directes i indirectes'!$A$3:$F$26,6,FALSE)</f>
        <v>3800</v>
      </c>
      <c r="D14" s="23">
        <v>50</v>
      </c>
      <c r="E14" s="23">
        <v>1</v>
      </c>
      <c r="F14" s="54">
        <f t="shared" si="7"/>
        <v>1900</v>
      </c>
      <c r="G14" s="97"/>
      <c r="H14" s="157" t="str">
        <f t="shared" si="0"/>
        <v>Tècnic equips i instal·lacions elèctriques</v>
      </c>
      <c r="I14" s="151" t="str">
        <f t="shared" si="4"/>
        <v>mes</v>
      </c>
      <c r="J14" s="152">
        <f>(C14+C61)*(1+$F$105+$F$106)</f>
        <v>5242.5</v>
      </c>
      <c r="K14" s="151">
        <f t="shared" si="1"/>
        <v>50</v>
      </c>
      <c r="L14" s="151">
        <f t="shared" si="2"/>
        <v>1</v>
      </c>
      <c r="M14" s="158">
        <f t="shared" si="8"/>
        <v>2621.25</v>
      </c>
      <c r="O14" s="60"/>
    </row>
    <row r="15" spans="1:15" ht="18.75" x14ac:dyDescent="0.25">
      <c r="A15" s="53" t="s">
        <v>47</v>
      </c>
      <c r="B15" s="21" t="s">
        <v>85</v>
      </c>
      <c r="C15" s="117">
        <f>VLOOKUP(A15,'Costos Directes i indirectes'!$A$3:$F$26,6,FALSE)</f>
        <v>3800</v>
      </c>
      <c r="D15" s="23">
        <v>20</v>
      </c>
      <c r="E15" s="23">
        <v>1</v>
      </c>
      <c r="F15" s="54">
        <f t="shared" si="7"/>
        <v>760</v>
      </c>
      <c r="G15" s="97"/>
      <c r="H15" s="157" t="str">
        <f t="shared" si="0"/>
        <v>Tècnic equips electromecànics</v>
      </c>
      <c r="I15" s="151" t="str">
        <f t="shared" si="4"/>
        <v>mes</v>
      </c>
      <c r="J15" s="152">
        <f>(C15+C66)*(1+$F$105+$F$106)</f>
        <v>5242.5</v>
      </c>
      <c r="K15" s="151">
        <f t="shared" si="1"/>
        <v>20</v>
      </c>
      <c r="L15" s="151">
        <f t="shared" si="2"/>
        <v>1</v>
      </c>
      <c r="M15" s="158">
        <f t="shared" si="8"/>
        <v>1048.5</v>
      </c>
      <c r="O15" s="60"/>
    </row>
    <row r="16" spans="1:15" ht="18.75" x14ac:dyDescent="0.25">
      <c r="A16" s="53" t="s">
        <v>53</v>
      </c>
      <c r="B16" s="21" t="s">
        <v>85</v>
      </c>
      <c r="C16" s="117">
        <f>VLOOKUP(A16,'Costos Directes i indirectes'!$A$3:$F$26,6,FALSE)</f>
        <v>3800</v>
      </c>
      <c r="D16" s="23">
        <v>50</v>
      </c>
      <c r="E16" s="23">
        <v>4</v>
      </c>
      <c r="F16" s="54">
        <f t="shared" si="3"/>
        <v>7600</v>
      </c>
      <c r="G16" s="97"/>
      <c r="H16" s="157" t="str">
        <f t="shared" si="0"/>
        <v>Tècnic medi ambient</v>
      </c>
      <c r="I16" s="151" t="str">
        <f t="shared" si="4"/>
        <v>mes</v>
      </c>
      <c r="J16" s="152">
        <f>(C16+C71)*(1+$F$105+$F$106)</f>
        <v>5242.5</v>
      </c>
      <c r="K16" s="151">
        <f t="shared" si="1"/>
        <v>50</v>
      </c>
      <c r="L16" s="151">
        <f t="shared" si="2"/>
        <v>4</v>
      </c>
      <c r="M16" s="158">
        <f t="shared" si="5"/>
        <v>10485</v>
      </c>
      <c r="O16" s="60" t="e">
        <f>#REF!*1.19</f>
        <v>#REF!</v>
      </c>
    </row>
    <row r="17" spans="1:15" ht="18.75" x14ac:dyDescent="0.25">
      <c r="A17" s="74" t="s">
        <v>54</v>
      </c>
      <c r="B17" s="21" t="s">
        <v>85</v>
      </c>
      <c r="C17" s="117">
        <f>VLOOKUP(A17,'Costos Directes i indirectes'!$A$3:$F$26,6,FALSE)</f>
        <v>3800</v>
      </c>
      <c r="D17" s="23">
        <v>40</v>
      </c>
      <c r="E17" s="23">
        <v>1</v>
      </c>
      <c r="F17" s="54">
        <f t="shared" ref="F17" si="9">C17*(D17/100)*E17</f>
        <v>1520</v>
      </c>
      <c r="G17" s="97"/>
      <c r="H17" s="157" t="str">
        <f t="shared" si="0"/>
        <v>Tècnic de seguretat i salut</v>
      </c>
      <c r="I17" s="151" t="str">
        <f t="shared" si="4"/>
        <v>mes</v>
      </c>
      <c r="J17" s="152">
        <f>(C17+C76)*(1+$F$105+$F$106)</f>
        <v>5242.5</v>
      </c>
      <c r="K17" s="151">
        <f t="shared" si="1"/>
        <v>40</v>
      </c>
      <c r="L17" s="151">
        <f t="shared" si="2"/>
        <v>1</v>
      </c>
      <c r="M17" s="158">
        <f t="shared" ref="M17" si="10">J17*(K17/100)*L17</f>
        <v>2097</v>
      </c>
      <c r="O17" s="60"/>
    </row>
    <row r="18" spans="1:15" ht="18.75" x14ac:dyDescent="0.25">
      <c r="A18" s="74" t="s">
        <v>61</v>
      </c>
      <c r="B18" s="21" t="s">
        <v>85</v>
      </c>
      <c r="C18" s="117">
        <f>VLOOKUP(A18,'Costos Directes i indirectes'!$A$3:$F$26,6,FALSE)</f>
        <v>4900</v>
      </c>
      <c r="D18" s="23">
        <v>20</v>
      </c>
      <c r="E18" s="23">
        <v>4</v>
      </c>
      <c r="F18" s="54">
        <f t="shared" ref="F18:F19" si="11">C18*(D18/100)*E18</f>
        <v>3920</v>
      </c>
      <c r="G18" s="97"/>
      <c r="H18" s="157" t="str">
        <f t="shared" ref="H18:H19" si="12">A18</f>
        <v>BIM Manager</v>
      </c>
      <c r="I18" s="151" t="str">
        <f t="shared" ref="I18:I19" si="13">B18</f>
        <v>mes</v>
      </c>
      <c r="J18" s="152">
        <f>(C18+C81)*(1+$F$105+$F$106)</f>
        <v>6727.4999999999991</v>
      </c>
      <c r="K18" s="151">
        <f t="shared" ref="K18:K19" si="14">D18</f>
        <v>20</v>
      </c>
      <c r="L18" s="151">
        <f t="shared" ref="L18:L19" si="15">E18</f>
        <v>4</v>
      </c>
      <c r="M18" s="158">
        <f t="shared" ref="M18:M19" si="16">J18*(K18/100)*L18</f>
        <v>5382</v>
      </c>
      <c r="O18" s="60"/>
    </row>
    <row r="19" spans="1:15" ht="18.75" x14ac:dyDescent="0.25">
      <c r="A19" s="74" t="s">
        <v>62</v>
      </c>
      <c r="B19" s="21" t="s">
        <v>85</v>
      </c>
      <c r="C19" s="117">
        <f>VLOOKUP(A19,'Costos Directes i indirectes'!$A$3:$F$26,6,FALSE)</f>
        <v>3800</v>
      </c>
      <c r="D19" s="23">
        <v>60</v>
      </c>
      <c r="E19" s="23">
        <v>4</v>
      </c>
      <c r="F19" s="54">
        <f t="shared" si="11"/>
        <v>9120</v>
      </c>
      <c r="G19" s="97"/>
      <c r="H19" s="157" t="str">
        <f t="shared" si="12"/>
        <v>Modelador BIM</v>
      </c>
      <c r="I19" s="151" t="str">
        <f t="shared" si="13"/>
        <v>mes</v>
      </c>
      <c r="J19" s="152">
        <f>(C19+C86)*(1+$F$105+$F$106)</f>
        <v>5242.5</v>
      </c>
      <c r="K19" s="151">
        <f t="shared" si="14"/>
        <v>60</v>
      </c>
      <c r="L19" s="151">
        <f t="shared" si="15"/>
        <v>4</v>
      </c>
      <c r="M19" s="158">
        <f t="shared" si="16"/>
        <v>12582</v>
      </c>
      <c r="O19" s="60"/>
    </row>
    <row r="20" spans="1:15" ht="18.75" x14ac:dyDescent="0.25">
      <c r="A20" s="74" t="s">
        <v>65</v>
      </c>
      <c r="B20" s="108" t="s">
        <v>85</v>
      </c>
      <c r="C20" s="118">
        <f>VLOOKUP(A20,'Costos Directes i indirectes'!$A$3:$F$26,6,FALSE)</f>
        <v>2800</v>
      </c>
      <c r="D20" s="109">
        <v>50</v>
      </c>
      <c r="E20" s="109">
        <v>8</v>
      </c>
      <c r="F20" s="110">
        <f t="shared" si="3"/>
        <v>11200</v>
      </c>
      <c r="G20" s="97"/>
      <c r="H20" s="157" t="str">
        <f t="shared" si="0"/>
        <v>Delineant projectista</v>
      </c>
      <c r="I20" s="151" t="str">
        <f t="shared" si="4"/>
        <v>mes</v>
      </c>
      <c r="J20" s="152">
        <f>(C20+C91)*(1+$F$105+$F$106)</f>
        <v>3892.5</v>
      </c>
      <c r="K20" s="151">
        <f t="shared" si="1"/>
        <v>50</v>
      </c>
      <c r="L20" s="151">
        <f t="shared" si="2"/>
        <v>8</v>
      </c>
      <c r="M20" s="158">
        <f t="shared" si="5"/>
        <v>15570</v>
      </c>
      <c r="O20" s="60" t="e">
        <f>#REF!*1.19</f>
        <v>#REF!</v>
      </c>
    </row>
    <row r="21" spans="1:15" ht="25.5" x14ac:dyDescent="0.25">
      <c r="A21" s="209" t="s">
        <v>86</v>
      </c>
      <c r="B21" s="210"/>
      <c r="C21" s="210"/>
      <c r="D21" s="210"/>
      <c r="E21" s="211"/>
      <c r="F21" s="58">
        <f>F22+F28</f>
        <v>1902.1070202020201</v>
      </c>
      <c r="G21" s="97"/>
      <c r="H21" s="157" t="str">
        <f>A100</f>
        <v>Campanya topografia/Georadar (jornades camp i oficina)</v>
      </c>
      <c r="I21" s="153" t="str">
        <f>B100</f>
        <v>Jornada</v>
      </c>
      <c r="J21" s="152">
        <f>(C100)*(1+$F$105+$F$106)</f>
        <v>674.99999999999989</v>
      </c>
      <c r="K21" s="153"/>
      <c r="L21" s="151">
        <f>E100</f>
        <v>7</v>
      </c>
      <c r="M21" s="159">
        <f>L21*J21</f>
        <v>4724.9999999999991</v>
      </c>
      <c r="O21" s="60" t="e">
        <f>#REF!*1.19</f>
        <v>#REF!</v>
      </c>
    </row>
    <row r="22" spans="1:15" ht="25.5" x14ac:dyDescent="0.25">
      <c r="A22" s="204" t="s">
        <v>87</v>
      </c>
      <c r="B22" s="205"/>
      <c r="C22" s="205"/>
      <c r="D22" s="205"/>
      <c r="E22" s="205"/>
      <c r="F22" s="79">
        <f>F24+F26</f>
        <v>350.99590909090909</v>
      </c>
      <c r="G22" s="97"/>
      <c r="H22" s="160" t="str">
        <f>A101</f>
        <v>Campanya Geotècnia COMPLETA (cales + 4 sondejos + informe)</v>
      </c>
      <c r="I22" s="161" t="str">
        <f>B101</f>
        <v>PA</v>
      </c>
      <c r="J22" s="162">
        <f>(C101)*(1+$F$105+$F$106)</f>
        <v>10818.846</v>
      </c>
      <c r="K22" s="161"/>
      <c r="L22" s="163">
        <f>E101</f>
        <v>1</v>
      </c>
      <c r="M22" s="164">
        <f>L22*J22</f>
        <v>10818.846</v>
      </c>
      <c r="O22" s="60" t="e">
        <f>#REF!*1.19</f>
        <v>#REF!</v>
      </c>
    </row>
    <row r="23" spans="1:15" ht="25.5" x14ac:dyDescent="0.25">
      <c r="A23" s="78"/>
      <c r="B23" s="24" t="s">
        <v>80</v>
      </c>
      <c r="C23" s="25" t="s">
        <v>88</v>
      </c>
      <c r="D23" s="25"/>
      <c r="E23" s="24" t="s">
        <v>83</v>
      </c>
      <c r="F23" s="52" t="s">
        <v>84</v>
      </c>
      <c r="G23" s="97"/>
      <c r="O23" s="60" t="e">
        <f>#REF!*1.19</f>
        <v>#REF!</v>
      </c>
    </row>
    <row r="24" spans="1:15" ht="18.75" x14ac:dyDescent="0.25">
      <c r="A24" s="138" t="str">
        <f>A8</f>
        <v>Autor de projecte (15)</v>
      </c>
      <c r="B24" s="139" t="s">
        <v>85</v>
      </c>
      <c r="C24" s="140">
        <f>F25/(E8*(D8/100))</f>
        <v>94.016761363636363</v>
      </c>
      <c r="D24" s="140">
        <f>D8</f>
        <v>20</v>
      </c>
      <c r="E24" s="140">
        <f>E8</f>
        <v>8</v>
      </c>
      <c r="F24" s="137">
        <f>C24*(D24/100)*E24</f>
        <v>150.42681818181819</v>
      </c>
      <c r="G24" s="97"/>
      <c r="O24" s="60" t="e">
        <f>#REF!*1.19</f>
        <v>#REF!</v>
      </c>
    </row>
    <row r="25" spans="1:15" ht="18.75" x14ac:dyDescent="0.25">
      <c r="A25" s="73" t="s">
        <v>89</v>
      </c>
      <c r="B25" s="21" t="s">
        <v>90</v>
      </c>
      <c r="C25" s="22">
        <f>'Costos Directes i indirectes'!I21</f>
        <v>50.142272727272726</v>
      </c>
      <c r="D25" s="22"/>
      <c r="E25" s="23">
        <v>3</v>
      </c>
      <c r="F25" s="54">
        <f>C25*E25</f>
        <v>150.42681818181819</v>
      </c>
      <c r="G25" s="97"/>
      <c r="O25" s="72" t="e">
        <f>#REF!</f>
        <v>#REF!</v>
      </c>
    </row>
    <row r="26" spans="1:15" ht="18.75" x14ac:dyDescent="0.25">
      <c r="A26" s="138" t="str">
        <f>A9</f>
        <v>Adjunt autor de projecte (10)</v>
      </c>
      <c r="B26" s="139" t="s">
        <v>85</v>
      </c>
      <c r="C26" s="140">
        <f>F27/(E9*(D9/100))</f>
        <v>50.142272727272726</v>
      </c>
      <c r="D26" s="140">
        <f>D9</f>
        <v>50</v>
      </c>
      <c r="E26" s="140">
        <f>E9</f>
        <v>8</v>
      </c>
      <c r="F26" s="137">
        <f t="shared" ref="F26" si="17">C26*(D26/100)*E26</f>
        <v>200.5690909090909</v>
      </c>
      <c r="G26" s="97"/>
      <c r="O26" s="26" t="e">
        <f>#REF!</f>
        <v>#REF!</v>
      </c>
    </row>
    <row r="27" spans="1:15" ht="18.75" x14ac:dyDescent="0.25">
      <c r="A27" s="73" t="s">
        <v>89</v>
      </c>
      <c r="B27" s="21" t="s">
        <v>90</v>
      </c>
      <c r="C27" s="22">
        <f>'Costos Directes i indirectes'!I21</f>
        <v>50.142272727272726</v>
      </c>
      <c r="D27" s="22"/>
      <c r="E27" s="23">
        <v>4</v>
      </c>
      <c r="F27" s="54">
        <f>C27*E27</f>
        <v>200.5690909090909</v>
      </c>
      <c r="G27" s="97"/>
    </row>
    <row r="28" spans="1:15" ht="18.75" x14ac:dyDescent="0.25">
      <c r="A28" s="212" t="s">
        <v>91</v>
      </c>
      <c r="B28" s="205"/>
      <c r="C28" s="205"/>
      <c r="D28" s="205"/>
      <c r="E28" s="213"/>
      <c r="F28" s="79">
        <f>F30+F36+F41+F46+F51+F56+F61+F66+F71+F76+F91+F81+F86</f>
        <v>1551.1111111111111</v>
      </c>
      <c r="G28" s="97"/>
    </row>
    <row r="29" spans="1:15" ht="25.5" customHeight="1" outlineLevel="1" x14ac:dyDescent="0.25">
      <c r="A29" s="78"/>
      <c r="B29" s="114" t="s">
        <v>80</v>
      </c>
      <c r="C29" s="115" t="s">
        <v>88</v>
      </c>
      <c r="D29" s="115" t="s">
        <v>82</v>
      </c>
      <c r="E29" s="114" t="s">
        <v>83</v>
      </c>
      <c r="F29" s="52" t="s">
        <v>84</v>
      </c>
    </row>
    <row r="30" spans="1:15" ht="15" outlineLevel="1" collapsed="1" x14ac:dyDescent="0.25">
      <c r="A30" s="138" t="str">
        <f>A24</f>
        <v>Autor de projecte (15)</v>
      </c>
      <c r="B30" s="139" t="s">
        <v>85</v>
      </c>
      <c r="C30" s="140">
        <f>SUM(C31:C35)</f>
        <v>94.444444444444443</v>
      </c>
      <c r="D30" s="140">
        <f>D8</f>
        <v>20</v>
      </c>
      <c r="E30" s="140">
        <f>E8</f>
        <v>8</v>
      </c>
      <c r="F30" s="137">
        <f>C30*(D30/100)*E30</f>
        <v>151.11111111111111</v>
      </c>
      <c r="H30" s="125"/>
      <c r="K30" s="125"/>
    </row>
    <row r="31" spans="1:15" hidden="1" outlineLevel="2" x14ac:dyDescent="0.25">
      <c r="A31" s="73" t="s">
        <v>22</v>
      </c>
      <c r="B31" s="21" t="s">
        <v>85</v>
      </c>
      <c r="C31" s="22">
        <f>VLOOKUP(A31,'Costos Directes i indirectes'!$K$5:$N$7,4,FALSE)</f>
        <v>11.111111111111111</v>
      </c>
      <c r="D31" s="22"/>
      <c r="E31" s="22"/>
      <c r="F31" s="54"/>
    </row>
    <row r="32" spans="1:15" hidden="1" outlineLevel="2" x14ac:dyDescent="0.25">
      <c r="A32" s="73" t="s">
        <v>26</v>
      </c>
      <c r="B32" s="21" t="s">
        <v>85</v>
      </c>
      <c r="C32" s="22">
        <f>VLOOKUP(A32,'Costos Directes i indirectes'!$K$5:$N$7,4,FALSE)</f>
        <v>22.222222222222221</v>
      </c>
      <c r="D32" s="22"/>
      <c r="E32" s="22"/>
      <c r="F32" s="54"/>
    </row>
    <row r="33" spans="1:15" hidden="1" outlineLevel="2" x14ac:dyDescent="0.25">
      <c r="A33" s="73" t="s">
        <v>29</v>
      </c>
      <c r="B33" s="21" t="s">
        <v>85</v>
      </c>
      <c r="C33" s="22">
        <f>VLOOKUP(A33,'Costos Directes i indirectes'!$K$5:$N$7,4,FALSE)</f>
        <v>11.111111111111111</v>
      </c>
      <c r="D33" s="22"/>
      <c r="E33" s="22"/>
      <c r="F33" s="54"/>
    </row>
    <row r="34" spans="1:15" hidden="1" outlineLevel="2" x14ac:dyDescent="0.25">
      <c r="A34" s="73" t="s">
        <v>92</v>
      </c>
      <c r="B34" s="21" t="s">
        <v>85</v>
      </c>
      <c r="C34" s="22">
        <f>'Costos Directes i indirectes'!$S$5</f>
        <v>25</v>
      </c>
      <c r="D34" s="22"/>
      <c r="E34" s="22"/>
      <c r="F34" s="54"/>
    </row>
    <row r="35" spans="1:15" hidden="1" outlineLevel="2" x14ac:dyDescent="0.25">
      <c r="A35" s="73" t="s">
        <v>23</v>
      </c>
      <c r="B35" s="21" t="s">
        <v>85</v>
      </c>
      <c r="C35" s="22">
        <f>'Costos Directes i indirectes'!$S$5</f>
        <v>25</v>
      </c>
      <c r="D35" s="22"/>
      <c r="E35" s="22"/>
      <c r="F35" s="54"/>
    </row>
    <row r="36" spans="1:15" ht="18.600000000000001" customHeight="1" outlineLevel="1" collapsed="1" x14ac:dyDescent="0.25">
      <c r="A36" s="138" t="str">
        <f>A9</f>
        <v>Adjunt autor de projecte (10)</v>
      </c>
      <c r="B36" s="139" t="s">
        <v>85</v>
      </c>
      <c r="C36" s="140">
        <f>SUM(C37:C40)</f>
        <v>83.333333333333329</v>
      </c>
      <c r="D36" s="140">
        <f>D9</f>
        <v>50</v>
      </c>
      <c r="E36" s="140">
        <f>E9</f>
        <v>8</v>
      </c>
      <c r="F36" s="137">
        <f>C36*(D36/100)*E36</f>
        <v>333.33333333333331</v>
      </c>
    </row>
    <row r="37" spans="1:15" hidden="1" outlineLevel="2" x14ac:dyDescent="0.25">
      <c r="A37" s="73" t="s">
        <v>26</v>
      </c>
      <c r="B37" s="21" t="s">
        <v>85</v>
      </c>
      <c r="C37" s="22">
        <f>VLOOKUP(A37,'Costos Directes i indirectes'!$K$5:$N$7,4,FALSE)</f>
        <v>22.222222222222221</v>
      </c>
      <c r="D37" s="22"/>
      <c r="E37" s="22"/>
      <c r="F37" s="54"/>
    </row>
    <row r="38" spans="1:15" hidden="1" outlineLevel="2" x14ac:dyDescent="0.25">
      <c r="A38" s="73" t="s">
        <v>29</v>
      </c>
      <c r="B38" s="21" t="s">
        <v>85</v>
      </c>
      <c r="C38" s="22">
        <f>VLOOKUP(A38,'Costos Directes i indirectes'!$K$5:$N$7,4,FALSE)</f>
        <v>11.111111111111111</v>
      </c>
      <c r="D38" s="22"/>
      <c r="E38" s="22"/>
      <c r="F38" s="54"/>
    </row>
    <row r="39" spans="1:15" hidden="1" outlineLevel="2" x14ac:dyDescent="0.25">
      <c r="A39" s="73" t="s">
        <v>92</v>
      </c>
      <c r="B39" s="21" t="s">
        <v>85</v>
      </c>
      <c r="C39" s="22">
        <f>'Costos Directes i indirectes'!$S$5</f>
        <v>25</v>
      </c>
      <c r="D39" s="22"/>
      <c r="E39" s="22"/>
      <c r="F39" s="54"/>
    </row>
    <row r="40" spans="1:15" hidden="1" outlineLevel="2" x14ac:dyDescent="0.25">
      <c r="A40" s="73" t="s">
        <v>23</v>
      </c>
      <c r="B40" s="21" t="s">
        <v>85</v>
      </c>
      <c r="C40" s="22">
        <f>'Costos Directes i indirectes'!$S$5</f>
        <v>25</v>
      </c>
      <c r="D40" s="22"/>
      <c r="E40" s="22"/>
      <c r="F40" s="54"/>
    </row>
    <row r="41" spans="1:15" ht="15" outlineLevel="1" collapsed="1" x14ac:dyDescent="0.25">
      <c r="A41" s="138" t="str">
        <f>A10</f>
        <v>Tècnic geotècnia</v>
      </c>
      <c r="B41" s="139" t="s">
        <v>85</v>
      </c>
      <c r="C41" s="140">
        <f>SUM(C42:C45)</f>
        <v>83.333333333333329</v>
      </c>
      <c r="D41" s="140">
        <f>D10</f>
        <v>50</v>
      </c>
      <c r="E41" s="140">
        <f>E10</f>
        <v>1</v>
      </c>
      <c r="F41" s="137">
        <f t="shared" ref="F41" si="18">C41*(D41/100)*E41</f>
        <v>41.666666666666664</v>
      </c>
    </row>
    <row r="42" spans="1:15" hidden="1" outlineLevel="2" x14ac:dyDescent="0.25">
      <c r="A42" s="73" t="s">
        <v>26</v>
      </c>
      <c r="B42" s="21" t="s">
        <v>85</v>
      </c>
      <c r="C42" s="22">
        <f>VLOOKUP(A42,'Costos Directes i indirectes'!$K$5:$N$7,4,FALSE)</f>
        <v>22.222222222222221</v>
      </c>
      <c r="D42" s="22"/>
      <c r="E42" s="22"/>
      <c r="F42" s="54"/>
    </row>
    <row r="43" spans="1:15" ht="15.75" hidden="1" outlineLevel="2" x14ac:dyDescent="0.25">
      <c r="A43" s="73" t="s">
        <v>29</v>
      </c>
      <c r="B43" s="21" t="s">
        <v>85</v>
      </c>
      <c r="C43" s="22">
        <f>VLOOKUP(A43,'Costos Directes i indirectes'!$K$5:$N$7,4,FALSE)</f>
        <v>11.111111111111111</v>
      </c>
      <c r="D43" s="22"/>
      <c r="E43" s="22"/>
      <c r="F43" s="54"/>
      <c r="O43" s="68">
        <f>O44+O53</f>
        <v>64496.10702020202</v>
      </c>
    </row>
    <row r="44" spans="1:15" ht="15.75" hidden="1" outlineLevel="2" x14ac:dyDescent="0.25">
      <c r="A44" s="73" t="s">
        <v>92</v>
      </c>
      <c r="B44" s="21" t="s">
        <v>85</v>
      </c>
      <c r="C44" s="22">
        <f>'Costos Directes i indirectes'!$S$5</f>
        <v>25</v>
      </c>
      <c r="D44" s="22"/>
      <c r="E44" s="22"/>
      <c r="F44" s="54"/>
      <c r="O44" s="67">
        <f>SUM(O47:O52)</f>
        <v>62594</v>
      </c>
    </row>
    <row r="45" spans="1:15" hidden="1" outlineLevel="2" x14ac:dyDescent="0.25">
      <c r="A45" s="73" t="s">
        <v>23</v>
      </c>
      <c r="B45" s="21" t="s">
        <v>85</v>
      </c>
      <c r="C45" s="22">
        <f>'Costos Directes i indirectes'!$S$5</f>
        <v>25</v>
      </c>
      <c r="D45" s="22"/>
      <c r="E45" s="22"/>
      <c r="F45" s="54"/>
    </row>
    <row r="46" spans="1:15" ht="15" outlineLevel="1" collapsed="1" x14ac:dyDescent="0.25">
      <c r="A46" s="138" t="str">
        <f>A11</f>
        <v>Tècnic càlculs hidràulics</v>
      </c>
      <c r="B46" s="139" t="s">
        <v>85</v>
      </c>
      <c r="C46" s="140">
        <f>SUM(C47:C50)</f>
        <v>83.333333333333329</v>
      </c>
      <c r="D46" s="140">
        <f>D11</f>
        <v>50</v>
      </c>
      <c r="E46" s="140">
        <f>E11</f>
        <v>1</v>
      </c>
      <c r="F46" s="137">
        <f t="shared" ref="F46" si="19">C46*(D46/100)*E46</f>
        <v>41.666666666666664</v>
      </c>
    </row>
    <row r="47" spans="1:15" hidden="1" outlineLevel="2" x14ac:dyDescent="0.25">
      <c r="A47" s="73" t="s">
        <v>26</v>
      </c>
      <c r="B47" s="21" t="s">
        <v>85</v>
      </c>
      <c r="C47" s="22">
        <f>VLOOKUP(A47,'Costos Directes i indirectes'!$K$5:$N$7,4,FALSE)</f>
        <v>22.222222222222221</v>
      </c>
      <c r="D47" s="22"/>
      <c r="E47" s="22"/>
      <c r="F47" s="54"/>
      <c r="O47" s="60">
        <f>F8*1.19</f>
        <v>12376</v>
      </c>
    </row>
    <row r="48" spans="1:15" hidden="1" outlineLevel="2" x14ac:dyDescent="0.25">
      <c r="A48" s="73" t="s">
        <v>29</v>
      </c>
      <c r="B48" s="21" t="s">
        <v>85</v>
      </c>
      <c r="C48" s="22">
        <f>VLOOKUP(A48,'Costos Directes i indirectes'!$K$5:$N$7,4,FALSE)</f>
        <v>11.111111111111111</v>
      </c>
      <c r="D48" s="22"/>
      <c r="E48" s="22"/>
      <c r="F48" s="54"/>
      <c r="O48" s="60">
        <f>F9*1.19</f>
        <v>23324</v>
      </c>
    </row>
    <row r="49" spans="1:15" hidden="1" outlineLevel="2" x14ac:dyDescent="0.25">
      <c r="A49" s="73" t="s">
        <v>92</v>
      </c>
      <c r="B49" s="21" t="s">
        <v>85</v>
      </c>
      <c r="C49" s="22">
        <f>'Costos Directes i indirectes'!$S$5</f>
        <v>25</v>
      </c>
      <c r="D49" s="22"/>
      <c r="E49" s="22"/>
      <c r="F49" s="54"/>
      <c r="O49" s="60">
        <f>F10*1.19</f>
        <v>2261</v>
      </c>
    </row>
    <row r="50" spans="1:15" hidden="1" outlineLevel="2" x14ac:dyDescent="0.25">
      <c r="A50" s="73" t="s">
        <v>23</v>
      </c>
      <c r="B50" s="21" t="s">
        <v>85</v>
      </c>
      <c r="C50" s="22">
        <f>'Costos Directes i indirectes'!$S$5</f>
        <v>25</v>
      </c>
      <c r="D50" s="22"/>
      <c r="E50" s="22"/>
      <c r="F50" s="54"/>
      <c r="O50" s="60">
        <f>F11*1.19</f>
        <v>2261</v>
      </c>
    </row>
    <row r="51" spans="1:15" ht="15" outlineLevel="1" collapsed="1" x14ac:dyDescent="0.25">
      <c r="A51" s="138" t="str">
        <f>A12</f>
        <v>Tècnic calculs estructurals</v>
      </c>
      <c r="B51" s="139" t="s">
        <v>85</v>
      </c>
      <c r="C51" s="140">
        <f>SUM(C52:C55)</f>
        <v>83.333333333333329</v>
      </c>
      <c r="D51" s="140">
        <f>D12</f>
        <v>50</v>
      </c>
      <c r="E51" s="140">
        <f>E12</f>
        <v>2</v>
      </c>
      <c r="F51" s="137">
        <f t="shared" ref="F51" si="20">C51*(D51/100)*E51</f>
        <v>83.333333333333329</v>
      </c>
      <c r="O51" s="60">
        <f>F16*1.19</f>
        <v>9044</v>
      </c>
    </row>
    <row r="52" spans="1:15" hidden="1" outlineLevel="2" x14ac:dyDescent="0.25">
      <c r="A52" s="73" t="s">
        <v>26</v>
      </c>
      <c r="B52" s="21" t="s">
        <v>85</v>
      </c>
      <c r="C52" s="22">
        <f>VLOOKUP(A52,'Costos Directes i indirectes'!$K$5:$N$7,4,FALSE)</f>
        <v>22.222222222222221</v>
      </c>
      <c r="D52" s="22"/>
      <c r="E52" s="22"/>
      <c r="F52" s="54"/>
      <c r="O52" s="60">
        <f>F20*1.19</f>
        <v>13328</v>
      </c>
    </row>
    <row r="53" spans="1:15" ht="15.75" hidden="1" outlineLevel="2" x14ac:dyDescent="0.25">
      <c r="A53" s="73" t="s">
        <v>29</v>
      </c>
      <c r="B53" s="21" t="s">
        <v>85</v>
      </c>
      <c r="C53" s="22">
        <f>VLOOKUP(A53,'Costos Directes i indirectes'!$K$5:$N$7,4,FALSE)</f>
        <v>11.111111111111111</v>
      </c>
      <c r="D53" s="22"/>
      <c r="E53" s="22"/>
      <c r="F53" s="54"/>
      <c r="O53" s="67">
        <f>F21</f>
        <v>1902.1070202020201</v>
      </c>
    </row>
    <row r="54" spans="1:15" hidden="1" outlineLevel="2" x14ac:dyDescent="0.25">
      <c r="A54" s="73" t="s">
        <v>92</v>
      </c>
      <c r="B54" s="21" t="s">
        <v>85</v>
      </c>
      <c r="C54" s="22">
        <f>'Costos Directes i indirectes'!$S$5</f>
        <v>25</v>
      </c>
      <c r="D54" s="22"/>
      <c r="E54" s="22"/>
      <c r="F54" s="54"/>
      <c r="O54" s="26" t="e">
        <f>#REF!</f>
        <v>#REF!</v>
      </c>
    </row>
    <row r="55" spans="1:15" hidden="1" outlineLevel="2" x14ac:dyDescent="0.25">
      <c r="A55" s="73" t="s">
        <v>23</v>
      </c>
      <c r="B55" s="21" t="s">
        <v>85</v>
      </c>
      <c r="C55" s="22">
        <f>'Costos Directes i indirectes'!$S$5</f>
        <v>25</v>
      </c>
      <c r="D55" s="22"/>
      <c r="E55" s="22"/>
      <c r="F55" s="54"/>
    </row>
    <row r="56" spans="1:15" ht="15" outlineLevel="1" collapsed="1" x14ac:dyDescent="0.25">
      <c r="A56" s="138" t="str">
        <f>A13</f>
        <v>Tècnic automatització i telecontrol</v>
      </c>
      <c r="B56" s="139" t="s">
        <v>85</v>
      </c>
      <c r="C56" s="140">
        <f>SUM(C57:C60)</f>
        <v>83.333333333333329</v>
      </c>
      <c r="D56" s="140">
        <f>D13</f>
        <v>50</v>
      </c>
      <c r="E56" s="140">
        <f>E13</f>
        <v>1</v>
      </c>
      <c r="F56" s="137">
        <f t="shared" ref="F56" si="21">C56*(D56/100)*E56</f>
        <v>41.666666666666664</v>
      </c>
    </row>
    <row r="57" spans="1:15" hidden="1" outlineLevel="2" x14ac:dyDescent="0.25">
      <c r="A57" s="73" t="s">
        <v>26</v>
      </c>
      <c r="B57" s="21" t="s">
        <v>85</v>
      </c>
      <c r="C57" s="22">
        <f>VLOOKUP(A57,'Costos Directes i indirectes'!$K$5:$N$7,4,FALSE)</f>
        <v>22.222222222222221</v>
      </c>
      <c r="D57" s="22"/>
      <c r="E57" s="22"/>
      <c r="F57" s="54"/>
    </row>
    <row r="58" spans="1:15" hidden="1" outlineLevel="2" x14ac:dyDescent="0.25">
      <c r="A58" s="73" t="s">
        <v>29</v>
      </c>
      <c r="B58" s="21" t="s">
        <v>85</v>
      </c>
      <c r="C58" s="22">
        <f>VLOOKUP(A58,'Costos Directes i indirectes'!$K$5:$N$7,4,FALSE)</f>
        <v>11.111111111111111</v>
      </c>
      <c r="D58" s="22"/>
      <c r="E58" s="22"/>
      <c r="F58" s="54"/>
    </row>
    <row r="59" spans="1:15" hidden="1" outlineLevel="2" x14ac:dyDescent="0.25">
      <c r="A59" s="73" t="s">
        <v>92</v>
      </c>
      <c r="B59" s="21" t="s">
        <v>85</v>
      </c>
      <c r="C59" s="22">
        <f>'Costos Directes i indirectes'!$S$5</f>
        <v>25</v>
      </c>
      <c r="D59" s="22"/>
      <c r="E59" s="22"/>
      <c r="F59" s="54"/>
    </row>
    <row r="60" spans="1:15" hidden="1" outlineLevel="2" x14ac:dyDescent="0.25">
      <c r="A60" s="73" t="s">
        <v>23</v>
      </c>
      <c r="B60" s="21" t="s">
        <v>85</v>
      </c>
      <c r="C60" s="22">
        <f>'Costos Directes i indirectes'!$S$5</f>
        <v>25</v>
      </c>
      <c r="D60" s="22"/>
      <c r="E60" s="22"/>
      <c r="F60" s="54"/>
    </row>
    <row r="61" spans="1:15" ht="25.5" outlineLevel="1" collapsed="1" x14ac:dyDescent="0.25">
      <c r="A61" s="138" t="str">
        <f>A14</f>
        <v>Tècnic equips i instal·lacions elèctriques</v>
      </c>
      <c r="B61" s="139" t="s">
        <v>85</v>
      </c>
      <c r="C61" s="140">
        <f>SUM(C62:C65)</f>
        <v>83.333333333333329</v>
      </c>
      <c r="D61" s="140">
        <f>D14</f>
        <v>50</v>
      </c>
      <c r="E61" s="140">
        <f>E14</f>
        <v>1</v>
      </c>
      <c r="F61" s="137">
        <f t="shared" ref="F61" si="22">C61*(D61/100)*E61</f>
        <v>41.666666666666664</v>
      </c>
    </row>
    <row r="62" spans="1:15" hidden="1" outlineLevel="2" x14ac:dyDescent="0.25">
      <c r="A62" s="73" t="s">
        <v>26</v>
      </c>
      <c r="B62" s="21" t="s">
        <v>85</v>
      </c>
      <c r="C62" s="22">
        <f>VLOOKUP(A62,'Costos Directes i indirectes'!$K$5:$N$7,4,FALSE)</f>
        <v>22.222222222222221</v>
      </c>
      <c r="D62" s="22"/>
      <c r="E62" s="22"/>
      <c r="F62" s="54"/>
    </row>
    <row r="63" spans="1:15" hidden="1" outlineLevel="2" x14ac:dyDescent="0.25">
      <c r="A63" s="73" t="s">
        <v>29</v>
      </c>
      <c r="B63" s="21" t="s">
        <v>85</v>
      </c>
      <c r="C63" s="22">
        <f>VLOOKUP(A63,'Costos Directes i indirectes'!$K$5:$N$7,4,FALSE)</f>
        <v>11.111111111111111</v>
      </c>
      <c r="D63" s="22"/>
      <c r="E63" s="22"/>
      <c r="F63" s="54"/>
    </row>
    <row r="64" spans="1:15" hidden="1" outlineLevel="2" x14ac:dyDescent="0.25">
      <c r="A64" s="73" t="s">
        <v>92</v>
      </c>
      <c r="B64" s="21" t="s">
        <v>85</v>
      </c>
      <c r="C64" s="22">
        <f>'Costos Directes i indirectes'!$S$5</f>
        <v>25</v>
      </c>
      <c r="D64" s="22"/>
      <c r="E64" s="22"/>
      <c r="F64" s="54"/>
    </row>
    <row r="65" spans="1:6" hidden="1" outlineLevel="2" x14ac:dyDescent="0.25">
      <c r="A65" s="73" t="s">
        <v>23</v>
      </c>
      <c r="B65" s="21" t="s">
        <v>85</v>
      </c>
      <c r="C65" s="22">
        <f>'Costos Directes i indirectes'!$S$5</f>
        <v>25</v>
      </c>
      <c r="D65" s="22"/>
      <c r="E65" s="22"/>
      <c r="F65" s="54"/>
    </row>
    <row r="66" spans="1:6" ht="15" outlineLevel="1" collapsed="1" x14ac:dyDescent="0.25">
      <c r="A66" s="138" t="str">
        <f>A15</f>
        <v>Tècnic equips electromecànics</v>
      </c>
      <c r="B66" s="139" t="s">
        <v>85</v>
      </c>
      <c r="C66" s="140">
        <f>SUM(C67:C70)</f>
        <v>83.333333333333329</v>
      </c>
      <c r="D66" s="140">
        <f>D15</f>
        <v>20</v>
      </c>
      <c r="E66" s="140">
        <f>E15</f>
        <v>1</v>
      </c>
      <c r="F66" s="137">
        <f t="shared" ref="F66" si="23">C66*(D66/100)*E66</f>
        <v>16.666666666666668</v>
      </c>
    </row>
    <row r="67" spans="1:6" hidden="1" outlineLevel="2" x14ac:dyDescent="0.25">
      <c r="A67" s="73" t="s">
        <v>26</v>
      </c>
      <c r="B67" s="21" t="s">
        <v>85</v>
      </c>
      <c r="C67" s="22">
        <f>VLOOKUP(A67,'Costos Directes i indirectes'!$K$5:$N$7,4,FALSE)</f>
        <v>22.222222222222221</v>
      </c>
      <c r="D67" s="22"/>
      <c r="E67" s="22"/>
      <c r="F67" s="54"/>
    </row>
    <row r="68" spans="1:6" hidden="1" outlineLevel="2" x14ac:dyDescent="0.25">
      <c r="A68" s="73" t="s">
        <v>29</v>
      </c>
      <c r="B68" s="21" t="s">
        <v>85</v>
      </c>
      <c r="C68" s="22">
        <f>VLOOKUP(A68,'Costos Directes i indirectes'!$K$5:$N$7,4,FALSE)</f>
        <v>11.111111111111111</v>
      </c>
      <c r="D68" s="22"/>
      <c r="E68" s="22"/>
      <c r="F68" s="54"/>
    </row>
    <row r="69" spans="1:6" hidden="1" outlineLevel="2" x14ac:dyDescent="0.25">
      <c r="A69" s="73" t="s">
        <v>92</v>
      </c>
      <c r="B69" s="21" t="s">
        <v>85</v>
      </c>
      <c r="C69" s="22">
        <f>'Costos Directes i indirectes'!$S$5</f>
        <v>25</v>
      </c>
      <c r="D69" s="22"/>
      <c r="E69" s="22"/>
      <c r="F69" s="54"/>
    </row>
    <row r="70" spans="1:6" hidden="1" outlineLevel="2" x14ac:dyDescent="0.25">
      <c r="A70" s="73" t="s">
        <v>23</v>
      </c>
      <c r="B70" s="21" t="s">
        <v>85</v>
      </c>
      <c r="C70" s="22">
        <f>'Costos Directes i indirectes'!$S$5</f>
        <v>25</v>
      </c>
      <c r="D70" s="22"/>
      <c r="E70" s="22"/>
      <c r="F70" s="54"/>
    </row>
    <row r="71" spans="1:6" ht="15" customHeight="1" outlineLevel="1" collapsed="1" x14ac:dyDescent="0.25">
      <c r="A71" s="138" t="str">
        <f>A16</f>
        <v>Tècnic medi ambient</v>
      </c>
      <c r="B71" s="139" t="s">
        <v>85</v>
      </c>
      <c r="C71" s="140">
        <f>SUM(C72:C75)</f>
        <v>83.333333333333329</v>
      </c>
      <c r="D71" s="140">
        <f>D16</f>
        <v>50</v>
      </c>
      <c r="E71" s="140">
        <f>E16</f>
        <v>4</v>
      </c>
      <c r="F71" s="137">
        <f t="shared" ref="F71" si="24">C71*(D71/100)*E71</f>
        <v>166.66666666666666</v>
      </c>
    </row>
    <row r="72" spans="1:6" hidden="1" outlineLevel="2" x14ac:dyDescent="0.25">
      <c r="A72" s="73" t="s">
        <v>26</v>
      </c>
      <c r="B72" s="21" t="s">
        <v>85</v>
      </c>
      <c r="C72" s="22">
        <f>VLOOKUP(A72,'Costos Directes i indirectes'!$K$5:$N$7,4,FALSE)</f>
        <v>22.222222222222221</v>
      </c>
      <c r="D72" s="22"/>
      <c r="E72" s="22"/>
      <c r="F72" s="54"/>
    </row>
    <row r="73" spans="1:6" hidden="1" outlineLevel="2" x14ac:dyDescent="0.25">
      <c r="A73" s="73" t="s">
        <v>29</v>
      </c>
      <c r="B73" s="21" t="s">
        <v>85</v>
      </c>
      <c r="C73" s="22">
        <f>VLOOKUP(A73,'Costos Directes i indirectes'!$K$5:$N$7,4,FALSE)</f>
        <v>11.111111111111111</v>
      </c>
      <c r="D73" s="22"/>
      <c r="E73" s="22"/>
      <c r="F73" s="54"/>
    </row>
    <row r="74" spans="1:6" hidden="1" outlineLevel="2" x14ac:dyDescent="0.25">
      <c r="A74" s="73" t="s">
        <v>92</v>
      </c>
      <c r="B74" s="21" t="s">
        <v>85</v>
      </c>
      <c r="C74" s="22">
        <f>'Costos Directes i indirectes'!$S$5</f>
        <v>25</v>
      </c>
      <c r="D74" s="22"/>
      <c r="E74" s="22"/>
      <c r="F74" s="54"/>
    </row>
    <row r="75" spans="1:6" hidden="1" outlineLevel="2" x14ac:dyDescent="0.25">
      <c r="A75" s="73" t="s">
        <v>23</v>
      </c>
      <c r="B75" s="21" t="s">
        <v>85</v>
      </c>
      <c r="C75" s="22">
        <f>'Costos Directes i indirectes'!$S$5</f>
        <v>25</v>
      </c>
      <c r="D75" s="22"/>
      <c r="E75" s="22"/>
      <c r="F75" s="54"/>
    </row>
    <row r="76" spans="1:6" ht="15" outlineLevel="1" collapsed="1" x14ac:dyDescent="0.25">
      <c r="A76" s="138" t="str">
        <f>A17</f>
        <v>Tècnic de seguretat i salut</v>
      </c>
      <c r="B76" s="139" t="s">
        <v>85</v>
      </c>
      <c r="C76" s="140">
        <f>SUM(C77:C80)</f>
        <v>83.333333333333329</v>
      </c>
      <c r="D76" s="140">
        <f>D17</f>
        <v>40</v>
      </c>
      <c r="E76" s="140">
        <f>E17</f>
        <v>1</v>
      </c>
      <c r="F76" s="137">
        <f t="shared" ref="F76" si="25">C76*(D76/100)*E76</f>
        <v>33.333333333333336</v>
      </c>
    </row>
    <row r="77" spans="1:6" hidden="1" outlineLevel="2" x14ac:dyDescent="0.25">
      <c r="A77" s="73" t="s">
        <v>26</v>
      </c>
      <c r="B77" s="21" t="s">
        <v>85</v>
      </c>
      <c r="C77" s="22">
        <f>VLOOKUP(A77,'Costos Directes i indirectes'!$K$5:$N$7,4,FALSE)</f>
        <v>22.222222222222221</v>
      </c>
      <c r="D77" s="22"/>
      <c r="E77" s="22"/>
      <c r="F77" s="54"/>
    </row>
    <row r="78" spans="1:6" hidden="1" outlineLevel="2" x14ac:dyDescent="0.25">
      <c r="A78" s="73" t="s">
        <v>29</v>
      </c>
      <c r="B78" s="21" t="s">
        <v>85</v>
      </c>
      <c r="C78" s="22">
        <f>VLOOKUP(A78,'Costos Directes i indirectes'!$K$5:$N$7,4,FALSE)</f>
        <v>11.111111111111111</v>
      </c>
      <c r="D78" s="22"/>
      <c r="E78" s="22"/>
      <c r="F78" s="54"/>
    </row>
    <row r="79" spans="1:6" hidden="1" outlineLevel="2" x14ac:dyDescent="0.25">
      <c r="A79" s="73" t="s">
        <v>92</v>
      </c>
      <c r="B79" s="21" t="s">
        <v>85</v>
      </c>
      <c r="C79" s="22">
        <f>'Costos Directes i indirectes'!$S$5</f>
        <v>25</v>
      </c>
      <c r="D79" s="22"/>
      <c r="E79" s="22"/>
      <c r="F79" s="54"/>
    </row>
    <row r="80" spans="1:6" hidden="1" outlineLevel="2" x14ac:dyDescent="0.25">
      <c r="A80" s="73" t="s">
        <v>23</v>
      </c>
      <c r="B80" s="21" t="s">
        <v>85</v>
      </c>
      <c r="C80" s="22">
        <f>'Costos Directes i indirectes'!$S$5</f>
        <v>25</v>
      </c>
      <c r="D80" s="22"/>
      <c r="E80" s="22"/>
      <c r="F80" s="54"/>
    </row>
    <row r="81" spans="1:15" ht="15" outlineLevel="1" collapsed="1" x14ac:dyDescent="0.25">
      <c r="A81" s="138" t="str">
        <f>A18</f>
        <v>BIM Manager</v>
      </c>
      <c r="B81" s="139" t="s">
        <v>85</v>
      </c>
      <c r="C81" s="140">
        <f>SUM(C82:C85)</f>
        <v>83.333333333333329</v>
      </c>
      <c r="D81" s="140">
        <f>D18</f>
        <v>20</v>
      </c>
      <c r="E81" s="140">
        <f>E18</f>
        <v>4</v>
      </c>
      <c r="F81" s="137">
        <f t="shared" ref="F81" si="26">C81*(D81/100)*E81</f>
        <v>66.666666666666671</v>
      </c>
    </row>
    <row r="82" spans="1:15" hidden="1" outlineLevel="2" x14ac:dyDescent="0.25">
      <c r="A82" s="73" t="s">
        <v>26</v>
      </c>
      <c r="B82" s="21" t="s">
        <v>85</v>
      </c>
      <c r="C82" s="22">
        <f>VLOOKUP(A82,'Costos Directes i indirectes'!$K$5:$N$7,4,FALSE)</f>
        <v>22.222222222222221</v>
      </c>
      <c r="D82" s="22"/>
      <c r="E82" s="22"/>
      <c r="F82" s="54"/>
    </row>
    <row r="83" spans="1:15" hidden="1" outlineLevel="2" x14ac:dyDescent="0.25">
      <c r="A83" s="73" t="s">
        <v>29</v>
      </c>
      <c r="B83" s="21" t="s">
        <v>85</v>
      </c>
      <c r="C83" s="22">
        <f>VLOOKUP(A83,'Costos Directes i indirectes'!$K$5:$N$7,4,FALSE)</f>
        <v>11.111111111111111</v>
      </c>
      <c r="D83" s="22"/>
      <c r="E83" s="22"/>
      <c r="F83" s="54"/>
    </row>
    <row r="84" spans="1:15" hidden="1" outlineLevel="2" x14ac:dyDescent="0.25">
      <c r="A84" s="73" t="s">
        <v>92</v>
      </c>
      <c r="B84" s="21" t="s">
        <v>85</v>
      </c>
      <c r="C84" s="22">
        <f>'Costos Directes i indirectes'!$S$5</f>
        <v>25</v>
      </c>
      <c r="D84" s="22"/>
      <c r="E84" s="22"/>
      <c r="F84" s="54"/>
    </row>
    <row r="85" spans="1:15" hidden="1" outlineLevel="2" x14ac:dyDescent="0.25">
      <c r="A85" s="73" t="s">
        <v>23</v>
      </c>
      <c r="B85" s="21" t="s">
        <v>85</v>
      </c>
      <c r="C85" s="22">
        <f>'Costos Directes i indirectes'!$S$5</f>
        <v>25</v>
      </c>
      <c r="D85" s="22"/>
      <c r="E85" s="22"/>
      <c r="F85" s="54"/>
    </row>
    <row r="86" spans="1:15" ht="15" outlineLevel="1" collapsed="1" x14ac:dyDescent="0.25">
      <c r="A86" s="138" t="str">
        <f>A19</f>
        <v>Modelador BIM</v>
      </c>
      <c r="B86" s="139" t="s">
        <v>85</v>
      </c>
      <c r="C86" s="140">
        <f>SUM(C87:C90)</f>
        <v>83.333333333333329</v>
      </c>
      <c r="D86" s="140">
        <f>D19</f>
        <v>60</v>
      </c>
      <c r="E86" s="140">
        <f>E19</f>
        <v>4</v>
      </c>
      <c r="F86" s="137">
        <f t="shared" ref="F86" si="27">C86*(D86/100)*E86</f>
        <v>199.99999999999997</v>
      </c>
    </row>
    <row r="87" spans="1:15" hidden="1" outlineLevel="2" x14ac:dyDescent="0.25">
      <c r="A87" s="73" t="s">
        <v>26</v>
      </c>
      <c r="B87" s="21" t="s">
        <v>85</v>
      </c>
      <c r="C87" s="22">
        <f>VLOOKUP(A87,'Costos Directes i indirectes'!$K$5:$N$7,4,FALSE)</f>
        <v>22.222222222222221</v>
      </c>
      <c r="D87" s="22"/>
      <c r="E87" s="22"/>
      <c r="F87" s="54"/>
    </row>
    <row r="88" spans="1:15" hidden="1" outlineLevel="2" x14ac:dyDescent="0.25">
      <c r="A88" s="73" t="s">
        <v>29</v>
      </c>
      <c r="B88" s="21" t="s">
        <v>85</v>
      </c>
      <c r="C88" s="22">
        <f>VLOOKUP(A88,'Costos Directes i indirectes'!$K$5:$N$7,4,FALSE)</f>
        <v>11.111111111111111</v>
      </c>
      <c r="D88" s="22"/>
      <c r="E88" s="22"/>
      <c r="F88" s="54"/>
    </row>
    <row r="89" spans="1:15" hidden="1" outlineLevel="2" x14ac:dyDescent="0.25">
      <c r="A89" s="73" t="s">
        <v>92</v>
      </c>
      <c r="B89" s="21" t="s">
        <v>85</v>
      </c>
      <c r="C89" s="22">
        <f>'Costos Directes i indirectes'!$S$5</f>
        <v>25</v>
      </c>
      <c r="D89" s="22"/>
      <c r="E89" s="22"/>
      <c r="F89" s="54"/>
    </row>
    <row r="90" spans="1:15" hidden="1" outlineLevel="2" x14ac:dyDescent="0.25">
      <c r="A90" s="73" t="s">
        <v>23</v>
      </c>
      <c r="B90" s="21" t="s">
        <v>85</v>
      </c>
      <c r="C90" s="22">
        <f>'Costos Directes i indirectes'!$S$5</f>
        <v>25</v>
      </c>
      <c r="D90" s="22"/>
      <c r="E90" s="22"/>
      <c r="F90" s="54"/>
    </row>
    <row r="91" spans="1:15" ht="15" outlineLevel="1" collapsed="1" x14ac:dyDescent="0.25">
      <c r="A91" s="138" t="str">
        <f>A20</f>
        <v>Delineant projectista</v>
      </c>
      <c r="B91" s="139" t="s">
        <v>85</v>
      </c>
      <c r="C91" s="140">
        <f>SUM(C92:C95)</f>
        <v>83.333333333333329</v>
      </c>
      <c r="D91" s="140">
        <f>D20</f>
        <v>50</v>
      </c>
      <c r="E91" s="140">
        <f>E20</f>
        <v>8</v>
      </c>
      <c r="F91" s="137">
        <f t="shared" ref="F91" si="28">C91*(D91/100)*E91</f>
        <v>333.33333333333331</v>
      </c>
    </row>
    <row r="92" spans="1:15" ht="15.75" hidden="1" outlineLevel="2" x14ac:dyDescent="0.25">
      <c r="A92" s="73" t="s">
        <v>26</v>
      </c>
      <c r="B92" s="21" t="s">
        <v>85</v>
      </c>
      <c r="C92" s="22">
        <f>VLOOKUP(A92,'Costos Directes i indirectes'!$K$5:$N$7,4,FALSE)</f>
        <v>22.222222222222221</v>
      </c>
      <c r="D92" s="22"/>
      <c r="E92" s="22"/>
      <c r="F92" s="54"/>
      <c r="O92" s="68" t="e">
        <f>O93+#REF!</f>
        <v>#REF!</v>
      </c>
    </row>
    <row r="93" spans="1:15" ht="15.75" hidden="1" outlineLevel="2" x14ac:dyDescent="0.25">
      <c r="A93" s="73" t="s">
        <v>29</v>
      </c>
      <c r="B93" s="21" t="s">
        <v>85</v>
      </c>
      <c r="C93" s="22">
        <f>VLOOKUP(A93,'Costos Directes i indirectes'!$K$5:$N$7,4,FALSE)</f>
        <v>11.111111111111111</v>
      </c>
      <c r="D93" s="22"/>
      <c r="E93" s="22"/>
      <c r="F93" s="54"/>
      <c r="O93" s="67" t="e">
        <f>SUM(O102:O104)</f>
        <v>#REF!</v>
      </c>
    </row>
    <row r="94" spans="1:15" hidden="1" outlineLevel="2" x14ac:dyDescent="0.25">
      <c r="A94" s="73" t="s">
        <v>92</v>
      </c>
      <c r="B94" s="21" t="s">
        <v>85</v>
      </c>
      <c r="C94" s="22">
        <f>'Costos Directes i indirectes'!$S$5</f>
        <v>25</v>
      </c>
      <c r="D94" s="22"/>
      <c r="E94" s="22"/>
      <c r="F94" s="54"/>
    </row>
    <row r="95" spans="1:15" hidden="1" outlineLevel="2" x14ac:dyDescent="0.25">
      <c r="A95" s="113" t="s">
        <v>23</v>
      </c>
      <c r="B95" s="55" t="s">
        <v>85</v>
      </c>
      <c r="C95" s="56">
        <f>'Costos Directes i indirectes'!$S$5</f>
        <v>25</v>
      </c>
      <c r="D95" s="56"/>
      <c r="E95" s="56"/>
      <c r="F95" s="57"/>
    </row>
    <row r="96" spans="1:15" x14ac:dyDescent="0.25">
      <c r="A96" s="127"/>
      <c r="B96" s="104"/>
      <c r="C96" s="105"/>
      <c r="D96" s="105"/>
      <c r="E96" s="105"/>
      <c r="F96" s="105"/>
    </row>
    <row r="97" spans="1:15" ht="18.75" x14ac:dyDescent="0.25">
      <c r="A97" s="214" t="s">
        <v>93</v>
      </c>
      <c r="B97" s="215"/>
      <c r="C97" s="215"/>
      <c r="D97" s="215"/>
      <c r="E97" s="216"/>
      <c r="F97" s="128">
        <f>F101+F100</f>
        <v>11513.96</v>
      </c>
    </row>
    <row r="98" spans="1:15" x14ac:dyDescent="0.25">
      <c r="A98" s="217"/>
      <c r="B98" s="219" t="s">
        <v>80</v>
      </c>
      <c r="C98" s="129" t="s">
        <v>94</v>
      </c>
      <c r="D98" s="221"/>
      <c r="E98" s="219" t="s">
        <v>83</v>
      </c>
      <c r="F98" s="223" t="s">
        <v>84</v>
      </c>
    </row>
    <row r="99" spans="1:15" x14ac:dyDescent="0.25">
      <c r="A99" s="218"/>
      <c r="B99" s="220"/>
      <c r="C99" s="130" t="s">
        <v>95</v>
      </c>
      <c r="D99" s="222"/>
      <c r="E99" s="220"/>
      <c r="F99" s="220"/>
    </row>
    <row r="100" spans="1:15" ht="25.5" x14ac:dyDescent="0.25">
      <c r="A100" s="135" t="s">
        <v>96</v>
      </c>
      <c r="B100" s="131" t="s">
        <v>97</v>
      </c>
      <c r="C100" s="132">
        <v>500</v>
      </c>
      <c r="D100" s="131"/>
      <c r="E100" s="133">
        <v>7</v>
      </c>
      <c r="F100" s="134">
        <f>E100*C100</f>
        <v>3500</v>
      </c>
    </row>
    <row r="101" spans="1:15" ht="25.5" x14ac:dyDescent="0.25">
      <c r="A101" s="135" t="s">
        <v>98</v>
      </c>
      <c r="B101" s="131" t="s">
        <v>99</v>
      </c>
      <c r="C101" s="132">
        <v>8013.96</v>
      </c>
      <c r="D101" s="131"/>
      <c r="E101" s="133">
        <v>1</v>
      </c>
      <c r="F101" s="134">
        <f>E101*C101</f>
        <v>8013.96</v>
      </c>
    </row>
    <row r="102" spans="1:15" x14ac:dyDescent="0.25">
      <c r="B102" s="104"/>
      <c r="C102" s="105"/>
      <c r="D102" s="105"/>
      <c r="E102" s="105"/>
      <c r="F102" s="105"/>
      <c r="O102" s="60" t="e">
        <f>#REF!*1.19</f>
        <v>#REF!</v>
      </c>
    </row>
    <row r="103" spans="1:15" ht="21" x14ac:dyDescent="0.25">
      <c r="D103" s="202" t="s">
        <v>100</v>
      </c>
      <c r="E103" s="203"/>
      <c r="F103" s="136">
        <f>F4</f>
        <v>88936.067020202026</v>
      </c>
      <c r="O103" s="60" t="e">
        <f>#REF!*1.19</f>
        <v>#REF!</v>
      </c>
    </row>
    <row r="104" spans="1:15" x14ac:dyDescent="0.25">
      <c r="O104" s="60" t="e">
        <f>#REF!*1.19</f>
        <v>#REF!</v>
      </c>
    </row>
    <row r="105" spans="1:15" ht="18.75" x14ac:dyDescent="0.25">
      <c r="E105" s="107" t="s">
        <v>101</v>
      </c>
      <c r="F105" s="116">
        <v>0.15</v>
      </c>
    </row>
    <row r="106" spans="1:15" ht="18.75" x14ac:dyDescent="0.25">
      <c r="E106" s="107" t="s">
        <v>102</v>
      </c>
      <c r="F106" s="116">
        <v>0.2</v>
      </c>
      <c r="I106" s="119" t="s">
        <v>103</v>
      </c>
      <c r="J106" s="119" t="s">
        <v>104</v>
      </c>
      <c r="K106" s="120" t="s">
        <v>105</v>
      </c>
    </row>
    <row r="107" spans="1:15" ht="15.75" x14ac:dyDescent="0.25">
      <c r="H107" s="148" t="s">
        <v>100</v>
      </c>
      <c r="I107" s="121">
        <f>(F5+F97)*(1+F105+F106)</f>
        <v>117495.84599999998</v>
      </c>
      <c r="J107" s="121">
        <f>F21*(1+F105+F106)</f>
        <v>2567.8444772727266</v>
      </c>
      <c r="K107" s="122">
        <f>SUM(I107:J107)</f>
        <v>120063.6904772727</v>
      </c>
    </row>
    <row r="108" spans="1:15" ht="21" x14ac:dyDescent="0.25">
      <c r="D108" s="202" t="s">
        <v>106</v>
      </c>
      <c r="E108" s="203"/>
      <c r="F108" s="76">
        <f>F103*(1+F105+F106)</f>
        <v>120063.69047727273</v>
      </c>
      <c r="H108" s="120" t="s">
        <v>105</v>
      </c>
      <c r="I108" s="123">
        <f>I107</f>
        <v>117495.84599999998</v>
      </c>
      <c r="J108" s="123">
        <f>J107</f>
        <v>2567.8444772727266</v>
      </c>
      <c r="K108" s="124">
        <f>SUM(K107)</f>
        <v>120063.6904772727</v>
      </c>
    </row>
    <row r="109" spans="1:15" ht="18.75" x14ac:dyDescent="0.25">
      <c r="I109" s="126">
        <f>I107/F108</f>
        <v>0.97861264744515886</v>
      </c>
      <c r="J109" s="126">
        <f>J108/F108</f>
        <v>2.1387352554840904E-2</v>
      </c>
    </row>
    <row r="110" spans="1:15" ht="15.75" x14ac:dyDescent="0.25">
      <c r="D110" s="63" t="s">
        <v>107</v>
      </c>
      <c r="E110" s="62">
        <v>0.21</v>
      </c>
      <c r="F110" s="61">
        <f>F108*0.21</f>
        <v>25213.375000227272</v>
      </c>
    </row>
    <row r="111" spans="1:15" ht="17.25" x14ac:dyDescent="0.25">
      <c r="D111" s="200" t="s">
        <v>108</v>
      </c>
      <c r="E111" s="201"/>
      <c r="F111" s="75">
        <f>F108+F110</f>
        <v>145277.0654775</v>
      </c>
    </row>
    <row r="117" spans="8:16" ht="15.75" x14ac:dyDescent="0.25">
      <c r="O117" s="69" t="e">
        <f>O92+O43+O4</f>
        <v>#REF!</v>
      </c>
    </row>
    <row r="119" spans="8:16" ht="15.75" x14ac:dyDescent="0.25">
      <c r="O119" s="70" t="e">
        <f>O93+O44+O5</f>
        <v>#REF!</v>
      </c>
      <c r="P119" s="64" t="e">
        <f>O119/O117</f>
        <v>#REF!</v>
      </c>
    </row>
    <row r="120" spans="8:16" ht="15.75" x14ac:dyDescent="0.25">
      <c r="O120" s="71" t="e">
        <f>O53+#REF!+O25</f>
        <v>#REF!</v>
      </c>
      <c r="P120" s="65" t="e">
        <f>O120/O117</f>
        <v>#REF!</v>
      </c>
    </row>
    <row r="121" spans="8:16" ht="21" x14ac:dyDescent="0.25">
      <c r="K121" s="77"/>
    </row>
    <row r="122" spans="8:16" ht="21" x14ac:dyDescent="0.25">
      <c r="H122" s="77"/>
      <c r="I122" s="77"/>
      <c r="J122" s="77"/>
    </row>
    <row r="123" spans="8:16" ht="21" x14ac:dyDescent="0.25">
      <c r="L123" s="77"/>
      <c r="M123" s="77"/>
      <c r="N123" s="77"/>
      <c r="O123" s="76" t="e">
        <f>O117+#REF!+#REF!</f>
        <v>#REF!</v>
      </c>
    </row>
    <row r="125" spans="8:16" ht="15.75" x14ac:dyDescent="0.25">
      <c r="O125" s="61" t="e">
        <f>O123*0.21</f>
        <v>#REF!</v>
      </c>
    </row>
    <row r="126" spans="8:16" x14ac:dyDescent="0.25">
      <c r="O126" s="51"/>
    </row>
    <row r="127" spans="8:16" ht="17.25" x14ac:dyDescent="0.25">
      <c r="O127" s="75" t="e">
        <f>O123+O125</f>
        <v>#REF!</v>
      </c>
    </row>
    <row r="133" ht="15" customHeight="1" x14ac:dyDescent="0.25"/>
  </sheetData>
  <mergeCells count="19">
    <mergeCell ref="F98:F99"/>
    <mergeCell ref="H5:M5"/>
    <mergeCell ref="H6:L6"/>
    <mergeCell ref="A22:E22"/>
    <mergeCell ref="A1:M1"/>
    <mergeCell ref="A2:M2"/>
    <mergeCell ref="D111:E111"/>
    <mergeCell ref="D103:E103"/>
    <mergeCell ref="D108:E108"/>
    <mergeCell ref="A6:E6"/>
    <mergeCell ref="A4:E4"/>
    <mergeCell ref="A5:E5"/>
    <mergeCell ref="A28:E28"/>
    <mergeCell ref="A21:E21"/>
    <mergeCell ref="A97:E97"/>
    <mergeCell ref="A98:A99"/>
    <mergeCell ref="B98:B99"/>
    <mergeCell ref="D98:D99"/>
    <mergeCell ref="E98:E9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403E82-0ECF-4372-8597-B644C0A6B583}">
          <x14:formula1>
            <xm:f>'Costos Directes i indirectes'!$A$3:$A$26</xm:f>
          </x14:formula1>
          <xm:sqref>A8:A20 H8:H20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33C96-B6F4-4147-8DD3-950952314CC1}">
  <sheetPr>
    <pageSetUpPr fitToPage="1"/>
  </sheetPr>
  <dimension ref="A1:K30"/>
  <sheetViews>
    <sheetView topLeftCell="A7" zoomScale="115" zoomScaleNormal="115" workbookViewId="0">
      <selection activeCell="B27" sqref="B27:D30"/>
    </sheetView>
  </sheetViews>
  <sheetFormatPr baseColWidth="10" defaultColWidth="11.42578125" defaultRowHeight="15" x14ac:dyDescent="0.25"/>
  <cols>
    <col min="1" max="1" width="3.5703125" bestFit="1" customWidth="1"/>
    <col min="2" max="2" width="32.28515625" bestFit="1" customWidth="1"/>
    <col min="3" max="3" width="12" bestFit="1" customWidth="1"/>
    <col min="4" max="4" width="12.5703125" customWidth="1"/>
    <col min="5" max="5" width="8.28515625" bestFit="1" customWidth="1"/>
    <col min="6" max="6" width="13.42578125" bestFit="1" customWidth="1"/>
    <col min="7" max="7" width="12" bestFit="1" customWidth="1"/>
    <col min="9" max="9" width="22.42578125" bestFit="1" customWidth="1"/>
    <col min="10" max="10" width="8.7109375" bestFit="1" customWidth="1"/>
    <col min="11" max="11" width="13.42578125" bestFit="1" customWidth="1"/>
    <col min="12" max="12" width="12" customWidth="1"/>
  </cols>
  <sheetData>
    <row r="1" spans="1:7" ht="36" customHeight="1" x14ac:dyDescent="0.25">
      <c r="A1" s="169" t="str">
        <f>'Càlcul cost projecte'!A1</f>
        <v>RENOVACIÓ DE L'ABASTAMENT A SANT CUGAT DEL VALLÈS</v>
      </c>
      <c r="B1" s="170"/>
      <c r="C1" s="170"/>
      <c r="D1" s="170"/>
      <c r="E1" s="170"/>
      <c r="F1" s="170"/>
      <c r="G1" s="171"/>
    </row>
    <row r="2" spans="1:7" ht="15" customHeight="1" x14ac:dyDescent="0.25">
      <c r="A2" s="172" t="str">
        <f>'Càlcul cost projecte'!A2</f>
        <v>EQUIP DE REDACCIÓ DE PROJECTE- PRESSUPOST DE LICITACIÓ</v>
      </c>
      <c r="B2" s="173"/>
      <c r="C2" s="173"/>
      <c r="D2" s="173"/>
      <c r="E2" s="173"/>
      <c r="F2" s="173"/>
      <c r="G2" s="174"/>
    </row>
    <row r="3" spans="1:7" ht="25.5" x14ac:dyDescent="0.25">
      <c r="A3" s="80"/>
      <c r="B3" s="81" t="s">
        <v>109</v>
      </c>
      <c r="C3" s="82" t="s">
        <v>80</v>
      </c>
      <c r="D3" s="83" t="s">
        <v>81</v>
      </c>
      <c r="E3" s="83" t="s">
        <v>110</v>
      </c>
      <c r="F3" s="82" t="s">
        <v>83</v>
      </c>
      <c r="G3" s="82" t="s">
        <v>84</v>
      </c>
    </row>
    <row r="4" spans="1:7" x14ac:dyDescent="0.25">
      <c r="A4" s="84" t="s">
        <v>111</v>
      </c>
      <c r="B4" s="85" t="str">
        <f>'Càlcul cost projecte'!H8</f>
        <v>Autor de projecte (15)</v>
      </c>
      <c r="C4" s="85" t="str">
        <f>'Càlcul cost projecte'!I8</f>
        <v>mes</v>
      </c>
      <c r="D4" s="90">
        <f>'Càlcul cost projecte'!J8</f>
        <v>8989.6166666666686</v>
      </c>
      <c r="E4" s="85">
        <f>'Càlcul cost projecte'!K8</f>
        <v>20</v>
      </c>
      <c r="F4" s="85">
        <f>'Càlcul cost projecte'!L8</f>
        <v>8</v>
      </c>
      <c r="G4" s="90">
        <f>F4*(E4/100)*D4</f>
        <v>14383.386666666671</v>
      </c>
    </row>
    <row r="5" spans="1:7" x14ac:dyDescent="0.25">
      <c r="A5" s="84" t="s">
        <v>112</v>
      </c>
      <c r="B5" s="85" t="str">
        <f>'Càlcul cost projecte'!H9</f>
        <v>Adjunt autor de projecte (10)</v>
      </c>
      <c r="C5" s="85" t="str">
        <f>'Càlcul cost projecte'!I9</f>
        <v>mes</v>
      </c>
      <c r="D5" s="90">
        <f>'Càlcul cost projecte'!J9</f>
        <v>6795.1920681818174</v>
      </c>
      <c r="E5" s="85">
        <f>'Càlcul cost projecte'!K9</f>
        <v>50</v>
      </c>
      <c r="F5" s="85">
        <f>'Càlcul cost projecte'!L9</f>
        <v>8</v>
      </c>
      <c r="G5" s="90">
        <f t="shared" ref="G5:G16" si="0">F5*(E5/100)*D5</f>
        <v>27180.76827272727</v>
      </c>
    </row>
    <row r="6" spans="1:7" x14ac:dyDescent="0.25">
      <c r="A6" s="84" t="s">
        <v>113</v>
      </c>
      <c r="B6" s="85" t="str">
        <f>'Càlcul cost projecte'!H10</f>
        <v>Tècnic geotècnia</v>
      </c>
      <c r="C6" s="85" t="str">
        <f>'Càlcul cost projecte'!I10</f>
        <v>mes</v>
      </c>
      <c r="D6" s="90">
        <f>'Càlcul cost projecte'!J10</f>
        <v>5242.5</v>
      </c>
      <c r="E6" s="85">
        <f>'Càlcul cost projecte'!K10</f>
        <v>50</v>
      </c>
      <c r="F6" s="85">
        <f>'Càlcul cost projecte'!L10</f>
        <v>1</v>
      </c>
      <c r="G6" s="90">
        <f t="shared" si="0"/>
        <v>2621.25</v>
      </c>
    </row>
    <row r="7" spans="1:7" x14ac:dyDescent="0.25">
      <c r="A7" s="84" t="s">
        <v>114</v>
      </c>
      <c r="B7" s="85" t="str">
        <f>'Càlcul cost projecte'!H11</f>
        <v>Tècnic càlculs hidràulics</v>
      </c>
      <c r="C7" s="85" t="str">
        <f>'Càlcul cost projecte'!I11</f>
        <v>mes</v>
      </c>
      <c r="D7" s="90">
        <f>'Càlcul cost projecte'!J11</f>
        <v>5242.5</v>
      </c>
      <c r="E7" s="85">
        <f>'Càlcul cost projecte'!K11</f>
        <v>50</v>
      </c>
      <c r="F7" s="85">
        <f>'Càlcul cost projecte'!L11</f>
        <v>1</v>
      </c>
      <c r="G7" s="90">
        <f t="shared" si="0"/>
        <v>2621.25</v>
      </c>
    </row>
    <row r="8" spans="1:7" x14ac:dyDescent="0.25">
      <c r="A8" s="84" t="s">
        <v>115</v>
      </c>
      <c r="B8" s="85" t="str">
        <f>'Càlcul cost projecte'!H12</f>
        <v>Tècnic calculs estructurals</v>
      </c>
      <c r="C8" s="85" t="str">
        <f>'Càlcul cost projecte'!I12</f>
        <v>mes</v>
      </c>
      <c r="D8" s="90">
        <f>'Càlcul cost projecte'!J12</f>
        <v>5242.5</v>
      </c>
      <c r="E8" s="85">
        <f>'Càlcul cost projecte'!K12</f>
        <v>50</v>
      </c>
      <c r="F8" s="85">
        <f>'Càlcul cost projecte'!L12</f>
        <v>2</v>
      </c>
      <c r="G8" s="90">
        <f t="shared" si="0"/>
        <v>5242.5</v>
      </c>
    </row>
    <row r="9" spans="1:7" x14ac:dyDescent="0.25">
      <c r="A9" s="84" t="s">
        <v>116</v>
      </c>
      <c r="B9" s="85" t="str">
        <f>'Càlcul cost projecte'!H13</f>
        <v>Tècnic automatització i telecontrol</v>
      </c>
      <c r="C9" s="85" t="str">
        <f>'Càlcul cost projecte'!I13</f>
        <v>mes</v>
      </c>
      <c r="D9" s="90">
        <f>'Càlcul cost projecte'!J13</f>
        <v>5242.5</v>
      </c>
      <c r="E9" s="85">
        <f>'Càlcul cost projecte'!K13</f>
        <v>50</v>
      </c>
      <c r="F9" s="85">
        <f>'Càlcul cost projecte'!L13</f>
        <v>1</v>
      </c>
      <c r="G9" s="90">
        <f t="shared" si="0"/>
        <v>2621.25</v>
      </c>
    </row>
    <row r="10" spans="1:7" ht="25.5" x14ac:dyDescent="0.25">
      <c r="A10" s="84" t="s">
        <v>117</v>
      </c>
      <c r="B10" s="85" t="str">
        <f>'Càlcul cost projecte'!H14</f>
        <v>Tècnic equips i instal·lacions elèctriques</v>
      </c>
      <c r="C10" s="85" t="str">
        <f>'Càlcul cost projecte'!I14</f>
        <v>mes</v>
      </c>
      <c r="D10" s="90">
        <f>'Càlcul cost projecte'!J14</f>
        <v>5242.5</v>
      </c>
      <c r="E10" s="85">
        <f>'Càlcul cost projecte'!K14</f>
        <v>50</v>
      </c>
      <c r="F10" s="85">
        <f>'Càlcul cost projecte'!L14</f>
        <v>1</v>
      </c>
      <c r="G10" s="90">
        <f t="shared" si="0"/>
        <v>2621.25</v>
      </c>
    </row>
    <row r="11" spans="1:7" x14ac:dyDescent="0.25">
      <c r="A11" s="84" t="s">
        <v>118</v>
      </c>
      <c r="B11" s="85" t="str">
        <f>'Càlcul cost projecte'!H15</f>
        <v>Tècnic equips electromecànics</v>
      </c>
      <c r="C11" s="85" t="str">
        <f>'Càlcul cost projecte'!I15</f>
        <v>mes</v>
      </c>
      <c r="D11" s="90">
        <f>'Càlcul cost projecte'!J15</f>
        <v>5242.5</v>
      </c>
      <c r="E11" s="85">
        <f>'Càlcul cost projecte'!K15</f>
        <v>20</v>
      </c>
      <c r="F11" s="85">
        <f>'Càlcul cost projecte'!L15</f>
        <v>1</v>
      </c>
      <c r="G11" s="90">
        <f t="shared" si="0"/>
        <v>1048.5</v>
      </c>
    </row>
    <row r="12" spans="1:7" x14ac:dyDescent="0.25">
      <c r="A12" s="84" t="s">
        <v>119</v>
      </c>
      <c r="B12" s="85" t="str">
        <f>'Càlcul cost projecte'!H16</f>
        <v>Tècnic medi ambient</v>
      </c>
      <c r="C12" s="85" t="str">
        <f>'Càlcul cost projecte'!I16</f>
        <v>mes</v>
      </c>
      <c r="D12" s="90">
        <f>'Càlcul cost projecte'!J16</f>
        <v>5242.5</v>
      </c>
      <c r="E12" s="85">
        <f>'Càlcul cost projecte'!K16</f>
        <v>50</v>
      </c>
      <c r="F12" s="85">
        <f>'Càlcul cost projecte'!L16</f>
        <v>4</v>
      </c>
      <c r="G12" s="90">
        <f t="shared" si="0"/>
        <v>10485</v>
      </c>
    </row>
    <row r="13" spans="1:7" x14ac:dyDescent="0.25">
      <c r="A13" s="84" t="s">
        <v>120</v>
      </c>
      <c r="B13" s="85" t="str">
        <f>'Càlcul cost projecte'!H17</f>
        <v>Tècnic de seguretat i salut</v>
      </c>
      <c r="C13" s="85" t="str">
        <f>'Càlcul cost projecte'!I17</f>
        <v>mes</v>
      </c>
      <c r="D13" s="90">
        <f>'Càlcul cost projecte'!J17</f>
        <v>5242.5</v>
      </c>
      <c r="E13" s="85">
        <f>'Càlcul cost projecte'!K17</f>
        <v>40</v>
      </c>
      <c r="F13" s="85">
        <f>'Càlcul cost projecte'!L17</f>
        <v>1</v>
      </c>
      <c r="G13" s="90">
        <f t="shared" si="0"/>
        <v>2097</v>
      </c>
    </row>
    <row r="14" spans="1:7" x14ac:dyDescent="0.25">
      <c r="A14" s="84" t="s">
        <v>121</v>
      </c>
      <c r="B14" s="85" t="str">
        <f>'Càlcul cost projecte'!H18</f>
        <v>BIM Manager</v>
      </c>
      <c r="C14" s="85" t="str">
        <f>'Càlcul cost projecte'!I18</f>
        <v>mes</v>
      </c>
      <c r="D14" s="90">
        <f>'Càlcul cost projecte'!J18</f>
        <v>6727.4999999999991</v>
      </c>
      <c r="E14" s="85">
        <f>'Càlcul cost projecte'!K18</f>
        <v>20</v>
      </c>
      <c r="F14" s="85">
        <f>'Càlcul cost projecte'!L18</f>
        <v>4</v>
      </c>
      <c r="G14" s="90">
        <f t="shared" ref="G14:G15" si="1">F14*(E14/100)*D14</f>
        <v>5382</v>
      </c>
    </row>
    <row r="15" spans="1:7" x14ac:dyDescent="0.25">
      <c r="A15" s="84" t="s">
        <v>122</v>
      </c>
      <c r="B15" s="85" t="str">
        <f>'Càlcul cost projecte'!H19</f>
        <v>Modelador BIM</v>
      </c>
      <c r="C15" s="85" t="str">
        <f>'Càlcul cost projecte'!I19</f>
        <v>mes</v>
      </c>
      <c r="D15" s="90">
        <f>'Càlcul cost projecte'!J19</f>
        <v>5242.5</v>
      </c>
      <c r="E15" s="85">
        <f>'Càlcul cost projecte'!K19</f>
        <v>60</v>
      </c>
      <c r="F15" s="85">
        <f>'Càlcul cost projecte'!L19</f>
        <v>4</v>
      </c>
      <c r="G15" s="90">
        <f t="shared" si="1"/>
        <v>12582</v>
      </c>
    </row>
    <row r="16" spans="1:7" ht="17.25" customHeight="1" x14ac:dyDescent="0.25">
      <c r="A16" s="84" t="s">
        <v>123</v>
      </c>
      <c r="B16" s="85" t="str">
        <f>'Càlcul cost projecte'!H20</f>
        <v>Delineant projectista</v>
      </c>
      <c r="C16" s="85" t="str">
        <f>'Càlcul cost projecte'!I20</f>
        <v>mes</v>
      </c>
      <c r="D16" s="90">
        <f>'Càlcul cost projecte'!J20</f>
        <v>3892.5</v>
      </c>
      <c r="E16" s="85">
        <v>50</v>
      </c>
      <c r="F16" s="85">
        <f>'Càlcul cost projecte'!L20</f>
        <v>8</v>
      </c>
      <c r="G16" s="90">
        <f t="shared" si="0"/>
        <v>15570</v>
      </c>
    </row>
    <row r="17" spans="1:11" ht="25.5" customHeight="1" x14ac:dyDescent="0.25">
      <c r="A17" s="84" t="s">
        <v>124</v>
      </c>
      <c r="B17" s="85" t="str">
        <f>'Càlcul cost projecte'!H21</f>
        <v>Campanya topografia/Georadar (jornades camp i oficina)</v>
      </c>
      <c r="C17" s="85" t="s">
        <v>97</v>
      </c>
      <c r="D17" s="90">
        <f>'Càlcul cost projecte'!J21</f>
        <v>674.99999999999989</v>
      </c>
      <c r="E17" s="85"/>
      <c r="F17" s="85">
        <f>'Càlcul cost projecte'!L21</f>
        <v>7</v>
      </c>
      <c r="G17" s="90">
        <f>F17*D17</f>
        <v>4724.9999999999991</v>
      </c>
      <c r="J17">
        <f>1250/8</f>
        <v>156.25</v>
      </c>
    </row>
    <row r="18" spans="1:11" ht="30.75" customHeight="1" x14ac:dyDescent="0.25">
      <c r="A18" s="84" t="s">
        <v>125</v>
      </c>
      <c r="B18" s="85" t="str">
        <f>'Càlcul cost projecte'!H22</f>
        <v>Campanya Geotècnia COMPLETA (cales + 4 sondejos + informe)</v>
      </c>
      <c r="C18" s="85" t="str">
        <f>'Càlcul cost projecte'!I22</f>
        <v>PA</v>
      </c>
      <c r="D18" s="90">
        <f>'Càlcul cost projecte'!J22</f>
        <v>10818.846</v>
      </c>
      <c r="E18" s="85"/>
      <c r="F18" s="85">
        <f>'Càlcul cost projecte'!L22</f>
        <v>1</v>
      </c>
      <c r="G18" s="90">
        <f>F18*D18</f>
        <v>10818.846</v>
      </c>
    </row>
    <row r="19" spans="1:11" x14ac:dyDescent="0.25">
      <c r="A19" s="84"/>
      <c r="B19" s="85"/>
      <c r="C19" s="21"/>
      <c r="D19" s="86"/>
      <c r="E19" s="21"/>
      <c r="F19" s="82" t="s">
        <v>126</v>
      </c>
      <c r="G19" s="87">
        <f>SUM(G4:G18)</f>
        <v>120000.00093939395</v>
      </c>
      <c r="I19" s="165">
        <f>G21*0.7</f>
        <v>84000.000657575758</v>
      </c>
      <c r="J19">
        <v>0.7</v>
      </c>
    </row>
    <row r="20" spans="1:11" x14ac:dyDescent="0.25">
      <c r="A20" s="91"/>
      <c r="B20" s="92"/>
      <c r="C20" s="93"/>
      <c r="D20" s="94"/>
      <c r="E20" s="95"/>
      <c r="F20" s="96"/>
      <c r="G20" s="87"/>
      <c r="I20">
        <f>G21*1.25</f>
        <v>150000.00117424244</v>
      </c>
      <c r="J20">
        <v>1.25</v>
      </c>
    </row>
    <row r="21" spans="1:11" x14ac:dyDescent="0.25">
      <c r="A21" s="175" t="s">
        <v>127</v>
      </c>
      <c r="B21" s="176"/>
      <c r="C21" s="176"/>
      <c r="D21" s="177"/>
      <c r="E21" s="178" t="s">
        <v>128</v>
      </c>
      <c r="F21" s="179"/>
      <c r="G21" s="88">
        <f>G19</f>
        <v>120000.00093939395</v>
      </c>
      <c r="I21" s="165">
        <f>15/130*G21</f>
        <v>13846.153954545456</v>
      </c>
      <c r="K21">
        <v>14794</v>
      </c>
    </row>
    <row r="22" spans="1:11" x14ac:dyDescent="0.25">
      <c r="A22" s="180"/>
      <c r="B22" s="180"/>
      <c r="C22" s="180"/>
      <c r="D22" s="180"/>
      <c r="E22" s="181" t="s">
        <v>107</v>
      </c>
      <c r="F22" s="181"/>
      <c r="G22" s="87">
        <f>0.21*G21</f>
        <v>25200.00019727273</v>
      </c>
      <c r="I22" s="166">
        <f>G21-I21</f>
        <v>106153.8469848485</v>
      </c>
      <c r="K22">
        <v>113420.59</v>
      </c>
    </row>
    <row r="23" spans="1:11" x14ac:dyDescent="0.25">
      <c r="A23" s="167" t="s">
        <v>129</v>
      </c>
      <c r="B23" s="167"/>
      <c r="C23" s="167"/>
      <c r="D23" s="167"/>
      <c r="E23" s="168" t="s">
        <v>130</v>
      </c>
      <c r="F23" s="168"/>
      <c r="G23" s="89">
        <f>G21+G22</f>
        <v>145200.00113666669</v>
      </c>
      <c r="I23" s="165">
        <f>SUM(I21:I22)</f>
        <v>120000.00093939395</v>
      </c>
      <c r="K23">
        <f>K21+K22</f>
        <v>128214.59</v>
      </c>
    </row>
    <row r="27" spans="1:11" x14ac:dyDescent="0.25">
      <c r="B27" s="142"/>
      <c r="C27" s="143" t="s">
        <v>131</v>
      </c>
      <c r="D27" s="143" t="s">
        <v>132</v>
      </c>
    </row>
    <row r="28" spans="1:11" x14ac:dyDescent="0.25">
      <c r="B28" s="143" t="s">
        <v>133</v>
      </c>
      <c r="C28" s="144">
        <v>0.97899999999999998</v>
      </c>
      <c r="D28" s="145">
        <f>G21*C28</f>
        <v>117480.00091966668</v>
      </c>
    </row>
    <row r="29" spans="1:11" x14ac:dyDescent="0.25">
      <c r="B29" s="143" t="s">
        <v>134</v>
      </c>
      <c r="C29" s="144">
        <v>2.1000000000000001E-2</v>
      </c>
      <c r="D29" s="145">
        <f>G21*C29</f>
        <v>2520.0000197272734</v>
      </c>
    </row>
    <row r="30" spans="1:11" x14ac:dyDescent="0.25">
      <c r="B30" s="146" t="s">
        <v>135</v>
      </c>
      <c r="C30" s="141"/>
      <c r="D30" s="147">
        <f>SUM(D28:D29)</f>
        <v>120000.00093939395</v>
      </c>
    </row>
  </sheetData>
  <mergeCells count="8">
    <mergeCell ref="A23:D23"/>
    <mergeCell ref="E23:F23"/>
    <mergeCell ref="A1:G1"/>
    <mergeCell ref="A2:G2"/>
    <mergeCell ref="A21:D21"/>
    <mergeCell ref="E21:F21"/>
    <mergeCell ref="A22:D22"/>
    <mergeCell ref="E22:F22"/>
  </mergeCells>
  <phoneticPr fontId="17" type="noConversion"/>
  <pageMargins left="0.7" right="0.7" top="0.75" bottom="0.75" header="0.3" footer="0.3"/>
  <pageSetup paperSize="9" scale="8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1CDF0-0950-4D8A-AC14-3A8AC1CCF326}">
  <dimension ref="A1:G23"/>
  <sheetViews>
    <sheetView tabSelected="1" workbookViewId="0">
      <selection activeCell="H24" sqref="H24"/>
    </sheetView>
  </sheetViews>
  <sheetFormatPr baseColWidth="10" defaultColWidth="11.42578125" defaultRowHeight="15" x14ac:dyDescent="0.25"/>
  <cols>
    <col min="1" max="1" width="3.5703125" bestFit="1" customWidth="1"/>
    <col min="2" max="2" width="32.28515625" bestFit="1" customWidth="1"/>
    <col min="3" max="3" width="12" bestFit="1" customWidth="1"/>
    <col min="4" max="4" width="12.5703125" customWidth="1"/>
    <col min="5" max="5" width="8.28515625" bestFit="1" customWidth="1"/>
    <col min="6" max="6" width="13.42578125" bestFit="1" customWidth="1"/>
    <col min="7" max="7" width="12" bestFit="1" customWidth="1"/>
  </cols>
  <sheetData>
    <row r="1" spans="1:7" ht="30" customHeight="1" x14ac:dyDescent="0.25">
      <c r="A1" s="169" t="str">
        <f>'Càlcul cost projecte'!A1</f>
        <v>RENOVACIÓ DE L'ABASTAMENT A SANT CUGAT DEL VALLÈS</v>
      </c>
      <c r="B1" s="170"/>
      <c r="C1" s="170"/>
      <c r="D1" s="170"/>
      <c r="E1" s="170"/>
      <c r="F1" s="170"/>
      <c r="G1" s="171"/>
    </row>
    <row r="2" spans="1:7" x14ac:dyDescent="0.25">
      <c r="A2" s="172" t="str">
        <f>'Càlcul cost projecte'!A2</f>
        <v>EQUIP DE REDACCIÓ DE PROJECTE- PRESSUPOST DE LICITACIÓ</v>
      </c>
      <c r="B2" s="173"/>
      <c r="C2" s="173"/>
      <c r="D2" s="173"/>
      <c r="E2" s="173"/>
      <c r="F2" s="173"/>
      <c r="G2" s="174"/>
    </row>
    <row r="3" spans="1:7" ht="25.5" x14ac:dyDescent="0.25">
      <c r="A3" s="80"/>
      <c r="B3" s="81" t="s">
        <v>109</v>
      </c>
      <c r="C3" s="82" t="s">
        <v>80</v>
      </c>
      <c r="D3" s="83" t="s">
        <v>81</v>
      </c>
      <c r="E3" s="83" t="s">
        <v>110</v>
      </c>
      <c r="F3" s="82" t="s">
        <v>83</v>
      </c>
      <c r="G3" s="82" t="s">
        <v>84</v>
      </c>
    </row>
    <row r="4" spans="1:7" x14ac:dyDescent="0.25">
      <c r="A4" s="84" t="s">
        <v>111</v>
      </c>
      <c r="B4" s="85" t="s">
        <v>8</v>
      </c>
      <c r="C4" s="85" t="s">
        <v>85</v>
      </c>
      <c r="D4" s="90"/>
      <c r="E4" s="85">
        <v>20</v>
      </c>
      <c r="F4" s="85">
        <v>8</v>
      </c>
      <c r="G4" s="90"/>
    </row>
    <row r="5" spans="1:7" x14ac:dyDescent="0.25">
      <c r="A5" s="84" t="s">
        <v>112</v>
      </c>
      <c r="B5" s="85" t="s">
        <v>27</v>
      </c>
      <c r="C5" s="85" t="s">
        <v>85</v>
      </c>
      <c r="D5" s="90"/>
      <c r="E5" s="85">
        <v>50</v>
      </c>
      <c r="F5" s="85">
        <v>8</v>
      </c>
      <c r="G5" s="90"/>
    </row>
    <row r="6" spans="1:7" x14ac:dyDescent="0.25">
      <c r="A6" s="84" t="s">
        <v>113</v>
      </c>
      <c r="B6" s="85" t="s">
        <v>32</v>
      </c>
      <c r="C6" s="85" t="s">
        <v>85</v>
      </c>
      <c r="D6" s="90"/>
      <c r="E6" s="85">
        <v>50</v>
      </c>
      <c r="F6" s="85">
        <v>1</v>
      </c>
      <c r="G6" s="90"/>
    </row>
    <row r="7" spans="1:7" x14ac:dyDescent="0.25">
      <c r="A7" s="84" t="s">
        <v>114</v>
      </c>
      <c r="B7" s="85" t="s">
        <v>36</v>
      </c>
      <c r="C7" s="85" t="s">
        <v>85</v>
      </c>
      <c r="D7" s="90"/>
      <c r="E7" s="85">
        <v>50</v>
      </c>
      <c r="F7" s="85">
        <v>1</v>
      </c>
      <c r="G7" s="90"/>
    </row>
    <row r="8" spans="1:7" x14ac:dyDescent="0.25">
      <c r="A8" s="84" t="s">
        <v>115</v>
      </c>
      <c r="B8" s="85" t="s">
        <v>137</v>
      </c>
      <c r="C8" s="85" t="s">
        <v>85</v>
      </c>
      <c r="D8" s="90"/>
      <c r="E8" s="85">
        <v>50</v>
      </c>
      <c r="F8" s="85">
        <v>2</v>
      </c>
      <c r="G8" s="90"/>
    </row>
    <row r="9" spans="1:7" x14ac:dyDescent="0.25">
      <c r="A9" s="84" t="s">
        <v>116</v>
      </c>
      <c r="B9" s="85" t="s">
        <v>51</v>
      </c>
      <c r="C9" s="85" t="s">
        <v>85</v>
      </c>
      <c r="D9" s="90"/>
      <c r="E9" s="85">
        <v>50</v>
      </c>
      <c r="F9" s="85">
        <v>1</v>
      </c>
      <c r="G9" s="90"/>
    </row>
    <row r="10" spans="1:7" ht="25.5" x14ac:dyDescent="0.25">
      <c r="A10" s="84" t="s">
        <v>117</v>
      </c>
      <c r="B10" s="85" t="s">
        <v>49</v>
      </c>
      <c r="C10" s="85" t="s">
        <v>85</v>
      </c>
      <c r="D10" s="90"/>
      <c r="E10" s="85">
        <v>50</v>
      </c>
      <c r="F10" s="85">
        <v>1</v>
      </c>
      <c r="G10" s="90"/>
    </row>
    <row r="11" spans="1:7" x14ac:dyDescent="0.25">
      <c r="A11" s="84" t="s">
        <v>118</v>
      </c>
      <c r="B11" s="85" t="s">
        <v>47</v>
      </c>
      <c r="C11" s="85" t="s">
        <v>85</v>
      </c>
      <c r="D11" s="90"/>
      <c r="E11" s="85">
        <v>20</v>
      </c>
      <c r="F11" s="85">
        <v>1</v>
      </c>
      <c r="G11" s="90"/>
    </row>
    <row r="12" spans="1:7" x14ac:dyDescent="0.25">
      <c r="A12" s="84" t="s">
        <v>119</v>
      </c>
      <c r="B12" s="85" t="s">
        <v>53</v>
      </c>
      <c r="C12" s="85" t="s">
        <v>85</v>
      </c>
      <c r="D12" s="90"/>
      <c r="E12" s="85">
        <v>50</v>
      </c>
      <c r="F12" s="85">
        <v>4</v>
      </c>
      <c r="G12" s="90"/>
    </row>
    <row r="13" spans="1:7" x14ac:dyDescent="0.25">
      <c r="A13" s="84" t="s">
        <v>120</v>
      </c>
      <c r="B13" s="85" t="s">
        <v>54</v>
      </c>
      <c r="C13" s="85" t="s">
        <v>85</v>
      </c>
      <c r="D13" s="90"/>
      <c r="E13" s="85">
        <v>40</v>
      </c>
      <c r="F13" s="85">
        <v>1</v>
      </c>
      <c r="G13" s="90"/>
    </row>
    <row r="14" spans="1:7" x14ac:dyDescent="0.25">
      <c r="A14" s="84" t="s">
        <v>121</v>
      </c>
      <c r="B14" s="85" t="s">
        <v>61</v>
      </c>
      <c r="C14" s="85" t="s">
        <v>85</v>
      </c>
      <c r="D14" s="90"/>
      <c r="E14" s="85">
        <v>20</v>
      </c>
      <c r="F14" s="85">
        <v>4</v>
      </c>
      <c r="G14" s="90"/>
    </row>
    <row r="15" spans="1:7" x14ac:dyDescent="0.25">
      <c r="A15" s="84" t="s">
        <v>122</v>
      </c>
      <c r="B15" s="85" t="s">
        <v>62</v>
      </c>
      <c r="C15" s="85" t="s">
        <v>85</v>
      </c>
      <c r="D15" s="90"/>
      <c r="E15" s="85">
        <v>60</v>
      </c>
      <c r="F15" s="85">
        <v>4</v>
      </c>
      <c r="G15" s="90"/>
    </row>
    <row r="16" spans="1:7" x14ac:dyDescent="0.25">
      <c r="A16" s="84" t="s">
        <v>123</v>
      </c>
      <c r="B16" s="85" t="s">
        <v>65</v>
      </c>
      <c r="C16" s="85" t="s">
        <v>85</v>
      </c>
      <c r="D16" s="90"/>
      <c r="E16" s="85">
        <v>50</v>
      </c>
      <c r="F16" s="85">
        <v>8</v>
      </c>
      <c r="G16" s="90"/>
    </row>
    <row r="17" spans="1:7" ht="25.5" x14ac:dyDescent="0.25">
      <c r="A17" s="84" t="s">
        <v>124</v>
      </c>
      <c r="B17" s="85" t="s">
        <v>96</v>
      </c>
      <c r="C17" s="85" t="s">
        <v>97</v>
      </c>
      <c r="D17" s="90"/>
      <c r="E17" s="85"/>
      <c r="F17" s="85">
        <v>7</v>
      </c>
      <c r="G17" s="90"/>
    </row>
    <row r="18" spans="1:7" ht="25.5" x14ac:dyDescent="0.25">
      <c r="A18" s="84" t="s">
        <v>125</v>
      </c>
      <c r="B18" s="85" t="s">
        <v>98</v>
      </c>
      <c r="C18" s="85" t="s">
        <v>99</v>
      </c>
      <c r="D18" s="90">
        <v>10818.85</v>
      </c>
      <c r="E18" s="85"/>
      <c r="F18" s="85">
        <v>1</v>
      </c>
      <c r="G18" s="90">
        <f>F18*D18</f>
        <v>10818.85</v>
      </c>
    </row>
    <row r="19" spans="1:7" x14ac:dyDescent="0.25">
      <c r="A19" s="84"/>
      <c r="B19" s="85"/>
      <c r="C19" s="21"/>
      <c r="D19" s="86"/>
      <c r="E19" s="21"/>
      <c r="F19" s="82" t="s">
        <v>126</v>
      </c>
      <c r="G19" s="87"/>
    </row>
    <row r="20" spans="1:7" x14ac:dyDescent="0.25">
      <c r="A20" s="91"/>
      <c r="B20" s="92"/>
      <c r="C20" s="93"/>
      <c r="D20" s="94"/>
      <c r="E20" s="95"/>
      <c r="F20" s="96"/>
      <c r="G20" s="87"/>
    </row>
    <row r="21" spans="1:7" x14ac:dyDescent="0.25">
      <c r="A21" s="175" t="s">
        <v>127</v>
      </c>
      <c r="B21" s="176"/>
      <c r="C21" s="176"/>
      <c r="D21" s="177"/>
      <c r="E21" s="178" t="s">
        <v>128</v>
      </c>
      <c r="F21" s="179"/>
      <c r="G21" s="88"/>
    </row>
    <row r="22" spans="1:7" x14ac:dyDescent="0.25">
      <c r="A22" s="180"/>
      <c r="B22" s="180"/>
      <c r="C22" s="180"/>
      <c r="D22" s="180"/>
      <c r="E22" s="181" t="s">
        <v>107</v>
      </c>
      <c r="F22" s="181"/>
      <c r="G22" s="87"/>
    </row>
    <row r="23" spans="1:7" x14ac:dyDescent="0.25">
      <c r="A23" s="167" t="s">
        <v>129</v>
      </c>
      <c r="B23" s="167"/>
      <c r="C23" s="167"/>
      <c r="D23" s="167"/>
      <c r="E23" s="168" t="s">
        <v>130</v>
      </c>
      <c r="F23" s="168"/>
      <c r="G23" s="89"/>
    </row>
  </sheetData>
  <mergeCells count="8">
    <mergeCell ref="A23:D23"/>
    <mergeCell ref="E23:F23"/>
    <mergeCell ref="A1:G1"/>
    <mergeCell ref="A2:G2"/>
    <mergeCell ref="A21:D21"/>
    <mergeCell ref="E21:F21"/>
    <mergeCell ref="A22:D22"/>
    <mergeCell ref="E22:F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86c41ac-fd43-4a6a-aae7-0a545d49da3a" xsi:nil="true"/>
    <lcf76f155ced4ddcb4097134ff3c332f xmlns="b86c41ac-fd43-4a6a-aae7-0a545d49da3a">
      <Terms xmlns="http://schemas.microsoft.com/office/infopath/2007/PartnerControls"/>
    </lcf76f155ced4ddcb4097134ff3c332f>
    <TaxCatchAll xmlns="a9afc521-f2ab-4c73-bd2d-de4b37378420" xsi:nil="true"/>
    <Compartitamb_x002e__x002e__x002e_ xmlns="b86c41ac-fd43-4a6a-aae7-0a545d49da3a">
      <UserInfo>
        <DisplayName/>
        <AccountId xsi:nil="true"/>
        <AccountType/>
      </UserInfo>
    </Compartitamb_x002e__x002e__x002e_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453C073403475438B940CE957AC8A7B" ma:contentTypeVersion="19" ma:contentTypeDescription="Crear nuevo documento." ma:contentTypeScope="" ma:versionID="e6b5b8d51044d61b61f3fccc06db5ee1">
  <xsd:schema xmlns:xsd="http://www.w3.org/2001/XMLSchema" xmlns:xs="http://www.w3.org/2001/XMLSchema" xmlns:p="http://schemas.microsoft.com/office/2006/metadata/properties" xmlns:ns2="b86c41ac-fd43-4a6a-aae7-0a545d49da3a" xmlns:ns3="a9afc521-f2ab-4c73-bd2d-de4b37378420" targetNamespace="http://schemas.microsoft.com/office/2006/metadata/properties" ma:root="true" ma:fieldsID="07459bb46715853886b638cd20009f1c" ns2:_="" ns3:_="">
    <xsd:import namespace="b86c41ac-fd43-4a6a-aae7-0a545d49da3a"/>
    <xsd:import namespace="a9afc521-f2ab-4c73-bd2d-de4b37378420"/>
    <xsd:element name="properties">
      <xsd:complexType>
        <xsd:sequence>
          <xsd:element name="documentManagement">
            <xsd:complexType>
              <xsd:all>
                <xsd:element ref="ns2:Compartitamb_x002e__x002e__x002e_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6c41ac-fd43-4a6a-aae7-0a545d49da3a" elementFormDefault="qualified">
    <xsd:import namespace="http://schemas.microsoft.com/office/2006/documentManagement/types"/>
    <xsd:import namespace="http://schemas.microsoft.com/office/infopath/2007/PartnerControls"/>
    <xsd:element name="Compartitamb_x002e__x002e__x002e_" ma:index="3" nillable="true" ma:displayName="Compartit amb..." ma:format="Dropdown" ma:list="UserInfo" ma:SharePointGroup="0" ma:internalName="Compartitamb_x002e__x002e__x002e_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hidden="true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afc521-f2ab-4c73-bd2d-de4b37378420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03c1bb26-1c5a-4013-ab9a-a34f341ba020}" ma:internalName="TaxCatchAll" ma:readOnly="false" ma:showField="CatchAllData" ma:web="a9afc521-f2ab-4c73-bd2d-de4b373784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93EF0C-49E5-4793-836F-31C7F2BEB264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b86c41ac-fd43-4a6a-aae7-0a545d49da3a"/>
    <ds:schemaRef ds:uri="a9afc521-f2ab-4c73-bd2d-de4b37378420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5FB85ED-9A66-4E4F-AA68-C5E9BED4DD13}"/>
</file>

<file path=customXml/itemProps3.xml><?xml version="1.0" encoding="utf-8"?>
<ds:datastoreItem xmlns:ds="http://schemas.openxmlformats.org/officeDocument/2006/customXml" ds:itemID="{83C558A0-F774-4C57-8A45-85643371C9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Costos Directes i indirectes</vt:lpstr>
      <vt:lpstr>Càlcul cost projecte</vt:lpstr>
      <vt:lpstr>Resum </vt:lpstr>
      <vt:lpstr>Hoja1</vt:lpstr>
      <vt:lpstr>'Càlcul cost projecte'!Área_de_impresión</vt:lpstr>
    </vt:vector>
  </TitlesOfParts>
  <Manager/>
  <Company>ATL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 Oriol Juanmarti Baro</dc:creator>
  <cp:keywords/>
  <dc:description/>
  <cp:lastModifiedBy>Monzon Fueyo, Ignacio</cp:lastModifiedBy>
  <cp:revision/>
  <cp:lastPrinted>2026-04-29T09:04:23Z</cp:lastPrinted>
  <dcterms:created xsi:type="dcterms:W3CDTF">2023-04-17T10:47:46Z</dcterms:created>
  <dcterms:modified xsi:type="dcterms:W3CDTF">2026-04-29T15:31:42Z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0x0101004453C073403475438B940CE957AC8A7B</vt:lpwstr>
  </property>
  <property fmtid="{D5CDD505-2E9C-101B-9397-08002B2CF9AE}" pid="3" name="MediaServiceImageTags">
    <vt:lpwstr/>
  </property>
  <property fmtid="{D5CDD505-2E9C-101B-9397-08002B2CF9AE}" pid="4" name="Order">
    <vt:r8>178000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